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P:\DATA\CLA-VAL General\"/>
    </mc:Choice>
  </mc:AlternateContent>
  <xr:revisionPtr revIDLastSave="0" documentId="13_ncr:1_{8E71CDBE-C263-4BCE-9718-2632AD5DD84A}" xr6:coauthVersionLast="47" xr6:coauthVersionMax="47" xr10:uidLastSave="{00000000-0000-0000-0000-000000000000}"/>
  <bookViews>
    <workbookView xWindow="-120" yWindow="-120" windowWidth="29040" windowHeight="15840" xr2:uid="{382970AB-A19D-415B-879E-5C0B6B2FD248}"/>
  </bookViews>
  <sheets>
    <sheet name="Direct Acting PRV" sheetId="1" r:id="rId1"/>
    <sheet name="Pilot Operated PRV" sheetId="2" r:id="rId2"/>
  </sheets>
  <definedNames>
    <definedName name="BD" localSheetId="1">'Pilot Operated PRV'!$B$78:$C$82</definedName>
    <definedName name="BD">'Direct Acting PRV'!#REF!</definedName>
    <definedName name="CLAVAL" localSheetId="1">'Pilot Operated PRV'!$CO$259</definedName>
    <definedName name="CLAVAL">'Direct Acting PRV'!#REF!</definedName>
    <definedName name="_xlnm.Criteria" localSheetId="1">'Pilot Operated PRV'!$B$79:$P$127</definedName>
    <definedName name="_xlnm.Criteria">'Direct Acting PRV'!#REF!</definedName>
    <definedName name="_xlnm.Database" localSheetId="1">'Pilot Operated PRV'!$B$79:$I$127</definedName>
    <definedName name="_xlnm.Database">'Direct Acting PRV'!#REF!</definedName>
    <definedName name="Debut" localSheetId="1">'Pilot Operated PRV'!#REF!</definedName>
    <definedName name="Debut">'Direct Acting PRV'!#REF!</definedName>
    <definedName name="_xlnm.Print_Area" localSheetId="0">'Direct Acting PRV'!$A$1:$H$24</definedName>
    <definedName name="_xlnm.Print_Area" localSheetId="1">'Pilot Operated PRV'!$CH$240:$CO$286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CM250" i="2"/>
  <c r="E7" i="2"/>
  <c r="C24" i="2"/>
  <c r="C75" i="2"/>
  <c r="Y110" i="2" s="1"/>
  <c r="C74" i="2"/>
  <c r="C8" i="2"/>
  <c r="C7" i="2"/>
  <c r="D26" i="1"/>
  <c r="G20" i="1" s="1"/>
  <c r="G21" i="1" s="1"/>
  <c r="C7" i="1"/>
  <c r="C6" i="1"/>
  <c r="CI280" i="2"/>
  <c r="CM258" i="2"/>
  <c r="CL258" i="2"/>
  <c r="CM257" i="2"/>
  <c r="CL257" i="2"/>
  <c r="CM256" i="2"/>
  <c r="CL256" i="2"/>
  <c r="CM255" i="2"/>
  <c r="CJ265" i="2" s="1"/>
  <c r="CL255" i="2"/>
  <c r="CM254" i="2"/>
  <c r="CJ264" i="2" s="1"/>
  <c r="CL254" i="2"/>
  <c r="CM251" i="2"/>
  <c r="CJ246" i="2"/>
  <c r="CJ244" i="2"/>
  <c r="W193" i="2"/>
  <c r="W192" i="2"/>
  <c r="W191" i="2"/>
  <c r="W190" i="2"/>
  <c r="W189" i="2"/>
  <c r="W188" i="2"/>
  <c r="W187" i="2"/>
  <c r="W186" i="2"/>
  <c r="W185" i="2"/>
  <c r="W184" i="2"/>
  <c r="W183" i="2"/>
  <c r="W182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Z115" i="2"/>
  <c r="K115" i="2"/>
  <c r="Z114" i="2"/>
  <c r="K114" i="2"/>
  <c r="Z113" i="2"/>
  <c r="K113" i="2"/>
  <c r="Z112" i="2"/>
  <c r="K112" i="2"/>
  <c r="Z111" i="2"/>
  <c r="K111" i="2"/>
  <c r="Z110" i="2"/>
  <c r="K110" i="2"/>
  <c r="Z109" i="2"/>
  <c r="K109" i="2"/>
  <c r="Z108" i="2"/>
  <c r="K108" i="2"/>
  <c r="Z107" i="2"/>
  <c r="K107" i="2"/>
  <c r="Z106" i="2"/>
  <c r="K106" i="2"/>
  <c r="Z105" i="2"/>
  <c r="K105" i="2"/>
  <c r="Z104" i="2"/>
  <c r="K104" i="2"/>
  <c r="Z103" i="2"/>
  <c r="K103" i="2"/>
  <c r="Z102" i="2"/>
  <c r="K102" i="2"/>
  <c r="Z101" i="2"/>
  <c r="K101" i="2"/>
  <c r="Z100" i="2"/>
  <c r="K100" i="2"/>
  <c r="Z99" i="2"/>
  <c r="K99" i="2"/>
  <c r="Z98" i="2"/>
  <c r="K98" i="2"/>
  <c r="Z97" i="2"/>
  <c r="K97" i="2"/>
  <c r="Z96" i="2"/>
  <c r="K96" i="2"/>
  <c r="Z95" i="2"/>
  <c r="K95" i="2"/>
  <c r="Z94" i="2"/>
  <c r="K94" i="2"/>
  <c r="Z93" i="2"/>
  <c r="K93" i="2"/>
  <c r="Z92" i="2"/>
  <c r="K92" i="2"/>
  <c r="Z91" i="2"/>
  <c r="K91" i="2"/>
  <c r="Z90" i="2"/>
  <c r="K90" i="2"/>
  <c r="Z89" i="2"/>
  <c r="K89" i="2"/>
  <c r="Z88" i="2"/>
  <c r="K88" i="2"/>
  <c r="Z87" i="2"/>
  <c r="K87" i="2"/>
  <c r="Z86" i="2"/>
  <c r="K86" i="2"/>
  <c r="Z85" i="2"/>
  <c r="K85" i="2"/>
  <c r="Z84" i="2"/>
  <c r="K84" i="2"/>
  <c r="Z83" i="2"/>
  <c r="K83" i="2"/>
  <c r="Z82" i="2"/>
  <c r="K82" i="2"/>
  <c r="Z81" i="2"/>
  <c r="K81" i="2"/>
  <c r="Z80" i="2"/>
  <c r="K80" i="2"/>
  <c r="Z79" i="2"/>
  <c r="P79" i="2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15" i="2" s="1"/>
  <c r="P116" i="2" s="1"/>
  <c r="P117" i="2" s="1"/>
  <c r="P118" i="2" s="1"/>
  <c r="P119" i="2" s="1"/>
  <c r="P120" i="2" s="1"/>
  <c r="P121" i="2" s="1"/>
  <c r="P122" i="2" s="1"/>
  <c r="P123" i="2" s="1"/>
  <c r="P124" i="2" s="1"/>
  <c r="P125" i="2" s="1"/>
  <c r="P126" i="2" s="1"/>
  <c r="P127" i="2" s="1"/>
  <c r="P128" i="2" s="1"/>
  <c r="P129" i="2" s="1"/>
  <c r="P130" i="2" s="1"/>
  <c r="P131" i="2" s="1"/>
  <c r="P132" i="2" s="1"/>
  <c r="P133" i="2" s="1"/>
  <c r="P134" i="2" s="1"/>
  <c r="P135" i="2" s="1"/>
  <c r="P136" i="2" s="1"/>
  <c r="P137" i="2" s="1"/>
  <c r="P138" i="2" s="1"/>
  <c r="P139" i="2" s="1"/>
  <c r="P140" i="2" s="1"/>
  <c r="P141" i="2" s="1"/>
  <c r="P142" i="2" s="1"/>
  <c r="P143" i="2" s="1"/>
  <c r="P144" i="2" s="1"/>
  <c r="P145" i="2" s="1"/>
  <c r="P146" i="2" s="1"/>
  <c r="P147" i="2" s="1"/>
  <c r="P148" i="2" s="1"/>
  <c r="P149" i="2" s="1"/>
  <c r="P150" i="2" s="1"/>
  <c r="P151" i="2" s="1"/>
  <c r="P152" i="2" s="1"/>
  <c r="P153" i="2" s="1"/>
  <c r="P154" i="2" s="1"/>
  <c r="P155" i="2" s="1"/>
  <c r="P156" i="2" s="1"/>
  <c r="P157" i="2" s="1"/>
  <c r="P158" i="2" s="1"/>
  <c r="P159" i="2" s="1"/>
  <c r="P160" i="2" s="1"/>
  <c r="P161" i="2" s="1"/>
  <c r="P162" i="2" s="1"/>
  <c r="P163" i="2" s="1"/>
  <c r="P164" i="2" s="1"/>
  <c r="P165" i="2" s="1"/>
  <c r="P166" i="2" s="1"/>
  <c r="P167" i="2" s="1"/>
  <c r="P168" i="2" s="1"/>
  <c r="P169" i="2" s="1"/>
  <c r="P170" i="2" s="1"/>
  <c r="P171" i="2" s="1"/>
  <c r="P172" i="2" s="1"/>
  <c r="P173" i="2" s="1"/>
  <c r="P174" i="2" s="1"/>
  <c r="P175" i="2" s="1"/>
  <c r="P176" i="2" s="1"/>
  <c r="P177" i="2" s="1"/>
  <c r="P178" i="2" s="1"/>
  <c r="K79" i="2"/>
  <c r="AB74" i="2"/>
  <c r="C71" i="2"/>
  <c r="C26" i="2" s="1"/>
  <c r="CM253" i="2" s="1"/>
  <c r="C70" i="2"/>
  <c r="C69" i="2"/>
  <c r="C54" i="2"/>
  <c r="W93" i="2" l="1"/>
  <c r="X93" i="2" s="1"/>
  <c r="C72" i="2"/>
  <c r="E4" i="2" s="1"/>
  <c r="W84" i="2"/>
  <c r="X84" i="2" s="1"/>
  <c r="W88" i="2"/>
  <c r="X88" i="2" s="1"/>
  <c r="W96" i="2"/>
  <c r="X96" i="2" s="1"/>
  <c r="AA110" i="2"/>
  <c r="W94" i="2"/>
  <c r="X94" i="2" s="1"/>
  <c r="W102" i="2"/>
  <c r="X102" i="2" s="1"/>
  <c r="H20" i="1"/>
  <c r="E4" i="1" s="1"/>
  <c r="C20" i="1"/>
  <c r="C21" i="1" s="1"/>
  <c r="D20" i="1"/>
  <c r="D21" i="1" s="1"/>
  <c r="E20" i="1"/>
  <c r="E21" i="1" s="1"/>
  <c r="F20" i="1"/>
  <c r="F21" i="1" s="1"/>
  <c r="U86" i="2"/>
  <c r="V86" i="2" s="1"/>
  <c r="Y99" i="2"/>
  <c r="AA99" i="2" s="1"/>
  <c r="Y106" i="2"/>
  <c r="AA106" i="2" s="1"/>
  <c r="Y113" i="2"/>
  <c r="AA113" i="2" s="1"/>
  <c r="U115" i="2"/>
  <c r="V115" i="2" s="1"/>
  <c r="U80" i="2"/>
  <c r="V80" i="2" s="1"/>
  <c r="Y82" i="2"/>
  <c r="AA82" i="2" s="1"/>
  <c r="Y97" i="2"/>
  <c r="AA97" i="2" s="1"/>
  <c r="Y86" i="2"/>
  <c r="AA86" i="2" s="1"/>
  <c r="U109" i="2"/>
  <c r="V109" i="2" s="1"/>
  <c r="U79" i="2"/>
  <c r="V79" i="2" s="1"/>
  <c r="U85" i="2"/>
  <c r="V85" i="2" s="1"/>
  <c r="U91" i="2"/>
  <c r="V91" i="2" s="1"/>
  <c r="Y105" i="2"/>
  <c r="AA105" i="2" s="1"/>
  <c r="U107" i="2"/>
  <c r="V107" i="2" s="1"/>
  <c r="U114" i="2"/>
  <c r="V114" i="2" s="1"/>
  <c r="U81" i="2"/>
  <c r="V81" i="2" s="1"/>
  <c r="Y91" i="2"/>
  <c r="AA91" i="2" s="1"/>
  <c r="Y87" i="2"/>
  <c r="AA87" i="2" s="1"/>
  <c r="U101" i="2"/>
  <c r="V101" i="2" s="1"/>
  <c r="W110" i="2"/>
  <c r="X110" i="2" s="1"/>
  <c r="W104" i="2"/>
  <c r="X104" i="2" s="1"/>
  <c r="W98" i="2"/>
  <c r="X98" i="2" s="1"/>
  <c r="W92" i="2"/>
  <c r="X92" i="2" s="1"/>
  <c r="W112" i="2"/>
  <c r="X112" i="2" s="1"/>
  <c r="W105" i="2"/>
  <c r="X105" i="2" s="1"/>
  <c r="W91" i="2"/>
  <c r="X91" i="2" s="1"/>
  <c r="W87" i="2"/>
  <c r="X87" i="2" s="1"/>
  <c r="W114" i="2"/>
  <c r="X114" i="2" s="1"/>
  <c r="W113" i="2"/>
  <c r="X113" i="2" s="1"/>
  <c r="W106" i="2"/>
  <c r="X106" i="2" s="1"/>
  <c r="W99" i="2"/>
  <c r="X99" i="2" s="1"/>
  <c r="W86" i="2"/>
  <c r="X86" i="2" s="1"/>
  <c r="W80" i="2"/>
  <c r="X80" i="2" s="1"/>
  <c r="W90" i="2"/>
  <c r="X90" i="2" s="1"/>
  <c r="W82" i="2"/>
  <c r="X82" i="2" s="1"/>
  <c r="W109" i="2"/>
  <c r="X109" i="2" s="1"/>
  <c r="W95" i="2"/>
  <c r="X95" i="2" s="1"/>
  <c r="W89" i="2"/>
  <c r="X89" i="2" s="1"/>
  <c r="W103" i="2"/>
  <c r="X103" i="2" s="1"/>
  <c r="W100" i="2"/>
  <c r="X100" i="2" s="1"/>
  <c r="W83" i="2"/>
  <c r="X83" i="2" s="1"/>
  <c r="W81" i="2"/>
  <c r="X81" i="2" s="1"/>
  <c r="W111" i="2"/>
  <c r="X111" i="2" s="1"/>
  <c r="W108" i="2"/>
  <c r="X108" i="2" s="1"/>
  <c r="W97" i="2"/>
  <c r="X97" i="2" s="1"/>
  <c r="W115" i="2"/>
  <c r="X115" i="2" s="1"/>
  <c r="W107" i="2"/>
  <c r="X107" i="2" s="1"/>
  <c r="W85" i="2"/>
  <c r="X85" i="2" s="1"/>
  <c r="W79" i="2"/>
  <c r="X79" i="2" s="1"/>
  <c r="W101" i="2"/>
  <c r="X101" i="2" s="1"/>
  <c r="Y115" i="2"/>
  <c r="Y114" i="2"/>
  <c r="AA114" i="2" s="1"/>
  <c r="U112" i="2"/>
  <c r="V112" i="2" s="1"/>
  <c r="Y108" i="2"/>
  <c r="AA108" i="2" s="1"/>
  <c r="U106" i="2"/>
  <c r="V106" i="2" s="1"/>
  <c r="Y102" i="2"/>
  <c r="AA102" i="2" s="1"/>
  <c r="U100" i="2"/>
  <c r="V100" i="2" s="1"/>
  <c r="Y96" i="2"/>
  <c r="AA96" i="2" s="1"/>
  <c r="U94" i="2"/>
  <c r="V94" i="2" s="1"/>
  <c r="Y90" i="2"/>
  <c r="AA90" i="2" s="1"/>
  <c r="U111" i="2"/>
  <c r="V111" i="2" s="1"/>
  <c r="Y107" i="2"/>
  <c r="AA107" i="2" s="1"/>
  <c r="U104" i="2"/>
  <c r="V104" i="2" s="1"/>
  <c r="U103" i="2"/>
  <c r="V103" i="2" s="1"/>
  <c r="Y100" i="2"/>
  <c r="AA100" i="2" s="1"/>
  <c r="U96" i="2"/>
  <c r="V96" i="2" s="1"/>
  <c r="U95" i="2"/>
  <c r="V95" i="2" s="1"/>
  <c r="Y93" i="2"/>
  <c r="AA93" i="2" s="1"/>
  <c r="Y85" i="2"/>
  <c r="U83" i="2"/>
  <c r="V83" i="2" s="1"/>
  <c r="U105" i="2"/>
  <c r="V105" i="2" s="1"/>
  <c r="Y101" i="2"/>
  <c r="AA101" i="2" s="1"/>
  <c r="U98" i="2"/>
  <c r="V98" i="2" s="1"/>
  <c r="U97" i="2"/>
  <c r="V97" i="2" s="1"/>
  <c r="Y94" i="2"/>
  <c r="AA94" i="2" s="1"/>
  <c r="U90" i="2"/>
  <c r="V90" i="2" s="1"/>
  <c r="U89" i="2"/>
  <c r="V89" i="2" s="1"/>
  <c r="U88" i="2"/>
  <c r="V88" i="2" s="1"/>
  <c r="Y84" i="2"/>
  <c r="AA84" i="2" s="1"/>
  <c r="U82" i="2"/>
  <c r="V82" i="2" s="1"/>
  <c r="Y103" i="2"/>
  <c r="AA103" i="2" s="1"/>
  <c r="Y81" i="2"/>
  <c r="AA81" i="2" s="1"/>
  <c r="Y83" i="2"/>
  <c r="AA83" i="2" s="1"/>
  <c r="U84" i="2"/>
  <c r="V84" i="2" s="1"/>
  <c r="U87" i="2"/>
  <c r="V87" i="2" s="1"/>
  <c r="Y92" i="2"/>
  <c r="AA92" i="2" s="1"/>
  <c r="Y98" i="2"/>
  <c r="AA98" i="2" s="1"/>
  <c r="U102" i="2"/>
  <c r="V102" i="2" s="1"/>
  <c r="Y109" i="2"/>
  <c r="U110" i="2"/>
  <c r="V110" i="2" s="1"/>
  <c r="AB110" i="2" s="1"/>
  <c r="Y112" i="2"/>
  <c r="AA112" i="2" s="1"/>
  <c r="U113" i="2"/>
  <c r="V113" i="2" s="1"/>
  <c r="Y88" i="2"/>
  <c r="AA88" i="2" s="1"/>
  <c r="U92" i="2"/>
  <c r="V92" i="2" s="1"/>
  <c r="Y111" i="2"/>
  <c r="AA111" i="2" s="1"/>
  <c r="Y79" i="2"/>
  <c r="AA79" i="2" s="1"/>
  <c r="Y80" i="2"/>
  <c r="AA80" i="2" s="1"/>
  <c r="Y89" i="2"/>
  <c r="AA89" i="2" s="1"/>
  <c r="U93" i="2"/>
  <c r="V93" i="2" s="1"/>
  <c r="Y95" i="2"/>
  <c r="AA95" i="2" s="1"/>
  <c r="U99" i="2"/>
  <c r="V99" i="2" s="1"/>
  <c r="Y104" i="2"/>
  <c r="AA104" i="2" s="1"/>
  <c r="U108" i="2"/>
  <c r="V108" i="2" s="1"/>
  <c r="C24" i="1" l="1"/>
  <c r="C23" i="1"/>
  <c r="H21" i="1"/>
  <c r="AB89" i="2"/>
  <c r="AC89" i="2" s="1"/>
  <c r="AB94" i="2"/>
  <c r="AC94" i="2" s="1"/>
  <c r="AB91" i="2"/>
  <c r="AC91" i="2" s="1"/>
  <c r="AB99" i="2"/>
  <c r="AC99" i="2" s="1"/>
  <c r="AB84" i="2"/>
  <c r="AC84" i="2" s="1"/>
  <c r="AB112" i="2"/>
  <c r="S185" i="2" s="1"/>
  <c r="AB101" i="2"/>
  <c r="AC101" i="2" s="1"/>
  <c r="AB83" i="2"/>
  <c r="V189" i="2" s="1"/>
  <c r="AB86" i="2"/>
  <c r="AC86" i="2" s="1"/>
  <c r="AB79" i="2"/>
  <c r="V193" i="2" s="1"/>
  <c r="AB108" i="2"/>
  <c r="S189" i="2" s="1"/>
  <c r="AB113" i="2"/>
  <c r="AC113" i="2" s="1"/>
  <c r="AB82" i="2"/>
  <c r="AC82" i="2" s="1"/>
  <c r="AB97" i="2"/>
  <c r="AC97" i="2" s="1"/>
  <c r="AB105" i="2"/>
  <c r="S191" i="2" s="1"/>
  <c r="AB90" i="2"/>
  <c r="V182" i="2" s="1"/>
  <c r="AB87" i="2"/>
  <c r="AC87" i="2" s="1"/>
  <c r="AB80" i="2"/>
  <c r="AC80" i="2" s="1"/>
  <c r="AB81" i="2"/>
  <c r="AC81" i="2" s="1"/>
  <c r="AB104" i="2"/>
  <c r="AC104" i="2" s="1"/>
  <c r="AB115" i="2"/>
  <c r="AC115" i="2" s="1"/>
  <c r="AA115" i="2"/>
  <c r="AB93" i="2"/>
  <c r="AC93" i="2" s="1"/>
  <c r="AB98" i="2"/>
  <c r="AC98" i="2" s="1"/>
  <c r="AB106" i="2"/>
  <c r="AC106" i="2" s="1"/>
  <c r="AB103" i="2"/>
  <c r="AB114" i="2"/>
  <c r="AB92" i="2"/>
  <c r="AC92" i="2" s="1"/>
  <c r="AA109" i="2"/>
  <c r="AB109" i="2"/>
  <c r="AB85" i="2"/>
  <c r="AA85" i="2"/>
  <c r="AB100" i="2"/>
  <c r="AC100" i="2" s="1"/>
  <c r="AB95" i="2"/>
  <c r="AC95" i="2" s="1"/>
  <c r="AB111" i="2"/>
  <c r="AB107" i="2"/>
  <c r="S187" i="2"/>
  <c r="AC110" i="2"/>
  <c r="AB102" i="2"/>
  <c r="AB88" i="2"/>
  <c r="AB96" i="2"/>
  <c r="AC96" i="2" s="1"/>
  <c r="V183" i="2" l="1"/>
  <c r="V190" i="2"/>
  <c r="V188" i="2"/>
  <c r="AC90" i="2"/>
  <c r="U74" i="2" s="1"/>
  <c r="AC112" i="2"/>
  <c r="AC79" i="2"/>
  <c r="V191" i="2"/>
  <c r="S184" i="2"/>
  <c r="AC108" i="2"/>
  <c r="V185" i="2"/>
  <c r="AC83" i="2"/>
  <c r="AC105" i="2"/>
  <c r="V186" i="2"/>
  <c r="S192" i="2"/>
  <c r="S182" i="2"/>
  <c r="V192" i="2"/>
  <c r="AC88" i="2"/>
  <c r="V184" i="2"/>
  <c r="AC85" i="2"/>
  <c r="V187" i="2"/>
  <c r="S183" i="2"/>
  <c r="AC114" i="2"/>
  <c r="S196" i="2"/>
  <c r="S194" i="2"/>
  <c r="AC102" i="2"/>
  <c r="S188" i="2"/>
  <c r="AC109" i="2"/>
  <c r="S193" i="2"/>
  <c r="AC103" i="2"/>
  <c r="S190" i="2"/>
  <c r="AC107" i="2"/>
  <c r="S186" i="2"/>
  <c r="AC111" i="2"/>
  <c r="AD78" i="2" l="1"/>
  <c r="V180" i="2"/>
  <c r="D17" i="2" s="1"/>
  <c r="AC78" i="2"/>
  <c r="S180" i="2"/>
  <c r="D16" i="2" s="1"/>
  <c r="D21" i="2" s="1"/>
  <c r="AC77" i="2"/>
  <c r="D39" i="2" l="1"/>
  <c r="D40" i="2" s="1"/>
  <c r="K7" i="2"/>
  <c r="C23" i="2"/>
  <c r="CM249" i="2"/>
  <c r="C73" i="2"/>
  <c r="CM260" i="2" l="1"/>
  <c r="CJ249" i="2"/>
  <c r="CJ250" i="2"/>
  <c r="CL259" i="2"/>
  <c r="CI244" i="2"/>
  <c r="CI246" i="2"/>
  <c r="CM262" i="2"/>
  <c r="CM241" i="2"/>
  <c r="CN262" i="2"/>
  <c r="CJ251" i="2"/>
  <c r="C30" i="2"/>
  <c r="C31" i="2" s="1"/>
  <c r="CN264" i="2" s="1"/>
  <c r="CJ258" i="2"/>
  <c r="D30" i="2"/>
  <c r="E3" i="2" s="1"/>
  <c r="CL262" i="2"/>
  <c r="CI261" i="2"/>
  <c r="CJ252" i="2"/>
  <c r="CI248" i="2"/>
  <c r="E39" i="2"/>
  <c r="C25" i="2" s="1"/>
  <c r="E76" i="2"/>
  <c r="D76" i="2"/>
  <c r="C28" i="2"/>
  <c r="CK264" i="2" s="1"/>
  <c r="CM259" i="2"/>
  <c r="CN259" i="2" s="1"/>
  <c r="L76" i="2"/>
  <c r="D48" i="2" s="1"/>
  <c r="O76" i="2"/>
  <c r="D42" i="2" s="1"/>
  <c r="D28" i="2"/>
  <c r="CK265" i="2" s="1"/>
  <c r="C76" i="2"/>
  <c r="F76" i="2"/>
  <c r="I76" i="2"/>
  <c r="C47" i="2" s="1"/>
  <c r="G76" i="2"/>
  <c r="M76" i="2"/>
  <c r="D41" i="2" s="1"/>
  <c r="H76" i="2"/>
  <c r="D29" i="2" l="1"/>
  <c r="E5" i="2" s="1"/>
  <c r="C29" i="2"/>
  <c r="C52" i="2"/>
  <c r="D52" i="2" s="1"/>
  <c r="CM265" i="2"/>
  <c r="S50" i="2"/>
  <c r="R50" i="2" s="1"/>
  <c r="Q50" i="2" s="1"/>
  <c r="S49" i="2"/>
  <c r="R49" i="2" s="1"/>
  <c r="Q49" i="2" s="1"/>
  <c r="CM264" i="2"/>
  <c r="Q170" i="2"/>
  <c r="Q158" i="2"/>
  <c r="Q146" i="2"/>
  <c r="Q134" i="2"/>
  <c r="Q123" i="2"/>
  <c r="Q96" i="2"/>
  <c r="Q151" i="2"/>
  <c r="Q121" i="2"/>
  <c r="Q109" i="2"/>
  <c r="Q155" i="2"/>
  <c r="Q88" i="2"/>
  <c r="Q93" i="2"/>
  <c r="Q147" i="2"/>
  <c r="Q98" i="2"/>
  <c r="Q153" i="2"/>
  <c r="Q92" i="2"/>
  <c r="Q122" i="2"/>
  <c r="Q111" i="2"/>
  <c r="Q140" i="2"/>
  <c r="Q94" i="2"/>
  <c r="Q118" i="2"/>
  <c r="Q103" i="2"/>
  <c r="Q148" i="2"/>
  <c r="Q157" i="2"/>
  <c r="Q97" i="2"/>
  <c r="Q167" i="2"/>
  <c r="Q168" i="2"/>
  <c r="Q156" i="2"/>
  <c r="Q144" i="2"/>
  <c r="Q132" i="2"/>
  <c r="Q120" i="2"/>
  <c r="Q90" i="2"/>
  <c r="Q145" i="2"/>
  <c r="Q119" i="2"/>
  <c r="Q95" i="2"/>
  <c r="Q141" i="2"/>
  <c r="Q81" i="2"/>
  <c r="Q82" i="2"/>
  <c r="Q143" i="2"/>
  <c r="Q149" i="2"/>
  <c r="Q164" i="2"/>
  <c r="Q114" i="2"/>
  <c r="Q133" i="2"/>
  <c r="Q106" i="2"/>
  <c r="Q113" i="2"/>
  <c r="Q86" i="2"/>
  <c r="Q172" i="2"/>
  <c r="Q110" i="2"/>
  <c r="Q161" i="2"/>
  <c r="Q104" i="2"/>
  <c r="Q166" i="2"/>
  <c r="Q154" i="2"/>
  <c r="Q142" i="2"/>
  <c r="Q130" i="2"/>
  <c r="Q117" i="2"/>
  <c r="Q175" i="2"/>
  <c r="Q139" i="2"/>
  <c r="Q101" i="2"/>
  <c r="Q84" i="2"/>
  <c r="Q137" i="2"/>
  <c r="Q124" i="2"/>
  <c r="Q89" i="2"/>
  <c r="Q129" i="2"/>
  <c r="Q91" i="2"/>
  <c r="Q135" i="2"/>
  <c r="Q83" i="2"/>
  <c r="Q176" i="2"/>
  <c r="Q152" i="2"/>
  <c r="Q128" i="2"/>
  <c r="Q169" i="2"/>
  <c r="Q177" i="2"/>
  <c r="Q87" i="2"/>
  <c r="Q131" i="2"/>
  <c r="Q136" i="2"/>
  <c r="Q125" i="2"/>
  <c r="Q99" i="2"/>
  <c r="Q79" i="2"/>
  <c r="Q174" i="2"/>
  <c r="Q162" i="2"/>
  <c r="Q150" i="2"/>
  <c r="Q138" i="2"/>
  <c r="Q115" i="2"/>
  <c r="Q108" i="2"/>
  <c r="Q163" i="2"/>
  <c r="Q127" i="2"/>
  <c r="Q85" i="2"/>
  <c r="Q173" i="2"/>
  <c r="Q100" i="2"/>
  <c r="Q105" i="2"/>
  <c r="Q165" i="2"/>
  <c r="Q112" i="2"/>
  <c r="Q171" i="2"/>
  <c r="Q116" i="2"/>
  <c r="Q80" i="2"/>
  <c r="Q160" i="2"/>
  <c r="Q126" i="2"/>
  <c r="Q102" i="2"/>
  <c r="Q159" i="2"/>
  <c r="Q107" i="2"/>
  <c r="C53" i="2"/>
  <c r="D53" i="2" s="1"/>
  <c r="D31" i="2"/>
  <c r="CN265" i="2" s="1"/>
  <c r="R82" i="2" l="1"/>
  <c r="R85" i="2"/>
  <c r="R81" i="2"/>
  <c r="R83" i="2"/>
  <c r="R87" i="2"/>
  <c r="R89" i="2"/>
  <c r="R90" i="2"/>
  <c r="R93" i="2"/>
  <c r="R159" i="2"/>
  <c r="R171" i="2"/>
  <c r="R150" i="2"/>
  <c r="R136" i="2"/>
  <c r="R152" i="2"/>
  <c r="R175" i="2"/>
  <c r="R104" i="2"/>
  <c r="R106" i="2"/>
  <c r="R167" i="2"/>
  <c r="R94" i="2"/>
  <c r="R98" i="2"/>
  <c r="R121" i="2"/>
  <c r="R158" i="2"/>
  <c r="R102" i="2"/>
  <c r="R112" i="2"/>
  <c r="R127" i="2"/>
  <c r="R162" i="2"/>
  <c r="R131" i="2"/>
  <c r="R176" i="2"/>
  <c r="R124" i="2"/>
  <c r="R117" i="2"/>
  <c r="R161" i="2"/>
  <c r="R133" i="2"/>
  <c r="R120" i="2"/>
  <c r="R97" i="2"/>
  <c r="R140" i="2"/>
  <c r="R147" i="2"/>
  <c r="R151" i="2"/>
  <c r="R170" i="2"/>
  <c r="R126" i="2"/>
  <c r="R165" i="2"/>
  <c r="R163" i="2"/>
  <c r="R174" i="2"/>
  <c r="R137" i="2"/>
  <c r="R130" i="2"/>
  <c r="R110" i="2"/>
  <c r="R114" i="2"/>
  <c r="R141" i="2"/>
  <c r="R132" i="2"/>
  <c r="R157" i="2"/>
  <c r="R111" i="2"/>
  <c r="R96" i="2"/>
  <c r="D49" i="2"/>
  <c r="CL265" i="2"/>
  <c r="D32" i="2"/>
  <c r="E52" i="2" s="1"/>
  <c r="F52" i="2" s="1"/>
  <c r="R80" i="2"/>
  <c r="R100" i="2"/>
  <c r="R115" i="2"/>
  <c r="R99" i="2"/>
  <c r="R169" i="2"/>
  <c r="R91" i="2"/>
  <c r="R101" i="2"/>
  <c r="R154" i="2"/>
  <c r="R86" i="2"/>
  <c r="R149" i="2"/>
  <c r="R119" i="2"/>
  <c r="R156" i="2"/>
  <c r="R103" i="2"/>
  <c r="R92" i="2"/>
  <c r="R155" i="2"/>
  <c r="R134" i="2"/>
  <c r="R107" i="2"/>
  <c r="R116" i="2"/>
  <c r="R173" i="2"/>
  <c r="R138" i="2"/>
  <c r="R125" i="2"/>
  <c r="R128" i="2"/>
  <c r="R129" i="2"/>
  <c r="R139" i="2"/>
  <c r="R166" i="2"/>
  <c r="R113" i="2"/>
  <c r="R143" i="2"/>
  <c r="R145" i="2"/>
  <c r="R168" i="2"/>
  <c r="R118" i="2"/>
  <c r="R153" i="2"/>
  <c r="R109" i="2"/>
  <c r="R146" i="2"/>
  <c r="R78" i="2"/>
  <c r="R178" i="2"/>
  <c r="CL264" i="2"/>
  <c r="C32" i="2"/>
  <c r="E53" i="2" s="1"/>
  <c r="F53" i="2" s="1"/>
  <c r="R160" i="2"/>
  <c r="R105" i="2"/>
  <c r="R108" i="2"/>
  <c r="R79" i="2"/>
  <c r="R177" i="2"/>
  <c r="R135" i="2"/>
  <c r="R84" i="2"/>
  <c r="R142" i="2"/>
  <c r="R172" i="2"/>
  <c r="R164" i="2"/>
  <c r="R95" i="2"/>
  <c r="R144" i="2"/>
  <c r="R148" i="2"/>
  <c r="R122" i="2"/>
  <c r="R88" i="2"/>
  <c r="R123" i="2"/>
</calcChain>
</file>

<file path=xl/sharedStrings.xml><?xml version="1.0" encoding="utf-8"?>
<sst xmlns="http://schemas.openxmlformats.org/spreadsheetml/2006/main" count="253" uniqueCount="152">
  <si>
    <t>[mm]</t>
  </si>
  <si>
    <t>[l/s]</t>
  </si>
  <si>
    <t>[l]</t>
  </si>
  <si>
    <t>[-]</t>
  </si>
  <si>
    <t>Siège</t>
  </si>
  <si>
    <t>Cv</t>
  </si>
  <si>
    <t>K</t>
  </si>
  <si>
    <t>DH</t>
  </si>
  <si>
    <t>Course</t>
  </si>
  <si>
    <t>Section</t>
  </si>
  <si>
    <t>l</t>
  </si>
  <si>
    <t>Re</t>
  </si>
  <si>
    <t>[%]</t>
  </si>
  <si>
    <t>[m/s]</t>
  </si>
  <si>
    <t>[m]</t>
  </si>
  <si>
    <t>[cm2]</t>
  </si>
  <si>
    <t>C.-W.</t>
  </si>
  <si>
    <t>Nikur.</t>
  </si>
  <si>
    <t>[/1000]</t>
  </si>
  <si>
    <t>Cv^1</t>
  </si>
  <si>
    <t>Cv^2</t>
  </si>
  <si>
    <t>Cv^3</t>
  </si>
  <si>
    <t>Cv^4</t>
  </si>
  <si>
    <t>Cv^5</t>
  </si>
  <si>
    <t>Remarques</t>
  </si>
  <si>
    <t>Vol</t>
  </si>
  <si>
    <t>Vanne recherchée</t>
  </si>
  <si>
    <t>Dessin</t>
  </si>
  <si>
    <t>Ouv.</t>
  </si>
  <si>
    <t>Tra.</t>
  </si>
  <si>
    <t>Code vanne</t>
  </si>
  <si>
    <t>Cv [l/s]</t>
  </si>
  <si>
    <t>Extrapolation</t>
  </si>
  <si>
    <t>Test</t>
  </si>
  <si>
    <t>Q max. :</t>
  </si>
  <si>
    <t>Q min. :</t>
  </si>
  <si>
    <t>K :</t>
  </si>
  <si>
    <t>Q max.</t>
  </si>
  <si>
    <t>Q min.</t>
  </si>
  <si>
    <t>GOODS STATION ROAD, TUNBRIDGE WELLS, KENT TN1 2DH</t>
  </si>
  <si>
    <t>TEL : +44 (0) 1892 514 400  FAX : +44 (0) 1892 543 423</t>
  </si>
  <si>
    <t>Opening Curve</t>
  </si>
  <si>
    <t>Total volume</t>
  </si>
  <si>
    <t>Removed volume</t>
  </si>
  <si>
    <t>Computed K</t>
  </si>
  <si>
    <t>V seat</t>
  </si>
  <si>
    <t>Other Cv :</t>
  </si>
  <si>
    <t xml:space="preserve"> </t>
  </si>
  <si>
    <t>Velocity</t>
  </si>
  <si>
    <t>DN</t>
  </si>
  <si>
    <t>Wide open</t>
  </si>
  <si>
    <t>(m/s)</t>
  </si>
  <si>
    <t>head-loss (mhd)</t>
  </si>
  <si>
    <t>Max CV</t>
  </si>
  <si>
    <t>%</t>
  </si>
  <si>
    <t>Max OPEN</t>
  </si>
  <si>
    <t>Min CV</t>
  </si>
  <si>
    <t>Min OPEN</t>
  </si>
  <si>
    <t>GE</t>
  </si>
  <si>
    <t>NGE</t>
  </si>
  <si>
    <t>GE SERIES</t>
  </si>
  <si>
    <t>NGE SERIES</t>
  </si>
  <si>
    <t>Flow unit l/s max</t>
  </si>
  <si>
    <t>Flow unit l/s min</t>
  </si>
  <si>
    <t>[1 / 2]</t>
  </si>
  <si>
    <t>Valve type</t>
  </si>
  <si>
    <t>MINIMUM Flow (Q min.) :</t>
  </si>
  <si>
    <t>MAXIMUM Flow (Q max.) :</t>
  </si>
  <si>
    <t>Min Flow</t>
  </si>
  <si>
    <t>Max Flow</t>
  </si>
  <si>
    <t>Valve CV (l/s)</t>
  </si>
  <si>
    <t>Headloss wide open valve  [bar]</t>
  </si>
  <si>
    <t>Valve % Open</t>
  </si>
  <si>
    <t>Stem lift                              [mm]</t>
  </si>
  <si>
    <t>Maximum Valve stem lift</t>
  </si>
  <si>
    <t>mm</t>
  </si>
  <si>
    <t>Flow (Q)</t>
  </si>
  <si>
    <t>ADDITIONAL INFORMATION</t>
  </si>
  <si>
    <t>P Inlet @ Min. flow :</t>
  </si>
  <si>
    <t>P Inlet @ Max. flow :</t>
  </si>
  <si>
    <t>Cla-Val UK</t>
  </si>
  <si>
    <t>Pressure Inlet max</t>
  </si>
  <si>
    <t>Pressure Outlet</t>
  </si>
  <si>
    <t>Body pattern [1] Globe [2] Angle</t>
  </si>
  <si>
    <t>cavitation warning - GE / NGE</t>
  </si>
  <si>
    <t>Valve % Cv</t>
  </si>
  <si>
    <r>
      <t>Pressure unit:  [</t>
    </r>
    <r>
      <rPr>
        <b/>
        <sz val="11"/>
        <color indexed="10"/>
        <rFont val="Calibri"/>
        <family val="2"/>
      </rPr>
      <t>1</t>
    </r>
    <r>
      <rPr>
        <b/>
        <sz val="11"/>
        <rFont val="Calibri"/>
        <family val="2"/>
      </rPr>
      <t>] = bar    [</t>
    </r>
    <r>
      <rPr>
        <b/>
        <sz val="11"/>
        <color indexed="10"/>
        <rFont val="Calibri"/>
        <family val="2"/>
      </rPr>
      <t>2</t>
    </r>
    <r>
      <rPr>
        <b/>
        <sz val="11"/>
        <rFont val="Calibri"/>
        <family val="2"/>
      </rPr>
      <t>] = mhd</t>
    </r>
  </si>
  <si>
    <t xml:space="preserve">    Size:</t>
  </si>
  <si>
    <t>Differential pressure</t>
  </si>
  <si>
    <t>Pressure Inlet Min</t>
  </si>
  <si>
    <t>Valve Seat size</t>
  </si>
  <si>
    <t>NOTE</t>
  </si>
  <si>
    <t/>
  </si>
  <si>
    <t>Adjustment Range:</t>
  </si>
  <si>
    <t>Technical Data</t>
  </si>
  <si>
    <t>Comments:</t>
  </si>
  <si>
    <t>cj246</t>
  </si>
  <si>
    <t>[Bar]</t>
  </si>
  <si>
    <t>Selected Valve size (mm):</t>
  </si>
  <si>
    <t>**Adjustment Ranges available include: 0.1 - 2 bar / 1.4 - 7.2 bar / 2 - 20 bar</t>
  </si>
  <si>
    <t>Model*:</t>
  </si>
  <si>
    <t>NORMAL</t>
  </si>
  <si>
    <t>PROJECT REF:</t>
  </si>
  <si>
    <t>Downstream Adjustment Range**:</t>
  </si>
  <si>
    <t>Cv / Kvs :</t>
  </si>
  <si>
    <t>Enter notes here…</t>
  </si>
  <si>
    <t>1/2"</t>
  </si>
  <si>
    <t>3/4"</t>
  </si>
  <si>
    <t>1"</t>
  </si>
  <si>
    <t>1 1/4"</t>
  </si>
  <si>
    <t>1 1/2"</t>
  </si>
  <si>
    <t>2"</t>
  </si>
  <si>
    <t>Kvs [M3/h]</t>
  </si>
  <si>
    <t>Size [mm]</t>
  </si>
  <si>
    <t>Velocity [m/s]</t>
  </si>
  <si>
    <t>Size [inches]</t>
  </si>
  <si>
    <r>
      <t>Flow unit: [</t>
    </r>
    <r>
      <rPr>
        <b/>
        <sz val="11"/>
        <color indexed="10"/>
        <rFont val="Calibri"/>
        <family val="2"/>
      </rPr>
      <t>1</t>
    </r>
    <r>
      <rPr>
        <b/>
        <sz val="11"/>
        <rFont val="Calibri"/>
        <family val="2"/>
      </rPr>
      <t>] =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 xml:space="preserve"> l/s  [</t>
    </r>
    <r>
      <rPr>
        <b/>
        <sz val="11"/>
        <color indexed="10"/>
        <rFont val="Calibri"/>
        <family val="2"/>
      </rPr>
      <t>2</t>
    </r>
    <r>
      <rPr>
        <b/>
        <sz val="11"/>
        <rFont val="Calibri"/>
        <family val="2"/>
      </rPr>
      <t>] =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m3/h [</t>
    </r>
    <r>
      <rPr>
        <b/>
        <sz val="11"/>
        <color rgb="FFFF0000"/>
        <rFont val="Calibri"/>
        <family val="2"/>
      </rPr>
      <t>3</t>
    </r>
    <r>
      <rPr>
        <b/>
        <sz val="11"/>
        <rFont val="Calibri"/>
        <family val="2"/>
      </rPr>
      <t>] = l/min</t>
    </r>
  </si>
  <si>
    <t>PRV Downstream pressure range:</t>
  </si>
  <si>
    <t>Valve Model</t>
  </si>
  <si>
    <t>Calculations</t>
  </si>
  <si>
    <t>Flow l/s</t>
  </si>
  <si>
    <t>Pressure</t>
  </si>
  <si>
    <t>bar</t>
  </si>
  <si>
    <r>
      <t>Flow unit: [</t>
    </r>
    <r>
      <rPr>
        <b/>
        <sz val="11"/>
        <color indexed="10"/>
        <rFont val="Calibri"/>
        <family val="2"/>
      </rPr>
      <t>1</t>
    </r>
    <r>
      <rPr>
        <b/>
        <sz val="11"/>
        <rFont val="Calibri"/>
        <family val="2"/>
      </rPr>
      <t>] =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 xml:space="preserve"> l/s  [</t>
    </r>
    <r>
      <rPr>
        <b/>
        <sz val="11"/>
        <color indexed="10"/>
        <rFont val="Calibri"/>
        <family val="2"/>
      </rPr>
      <t>2</t>
    </r>
    <r>
      <rPr>
        <b/>
        <sz val="11"/>
        <rFont val="Calibri"/>
        <family val="2"/>
      </rPr>
      <t>] =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 xml:space="preserve">m3/h </t>
    </r>
    <r>
      <rPr>
        <b/>
        <sz val="11"/>
        <rFont val="Calibri"/>
        <family val="2"/>
        <scheme val="minor"/>
      </rPr>
      <t xml:space="preserve"> [</t>
    </r>
    <r>
      <rPr>
        <b/>
        <sz val="11"/>
        <color rgb="FFFF0000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] = L/min</t>
    </r>
  </si>
  <si>
    <t>Bar</t>
  </si>
  <si>
    <t>Valve Selection</t>
  </si>
  <si>
    <t>Click image to view datasheet</t>
  </si>
  <si>
    <t>Enter notes here..</t>
  </si>
  <si>
    <t xml:space="preserve">                                                                                       OR:</t>
  </si>
  <si>
    <t>NGE-B90-01/LFS</t>
  </si>
  <si>
    <t>B90GE-01/LFS</t>
  </si>
  <si>
    <t>SUGGESTED SERIES AND SIZES                   EITHER:</t>
  </si>
  <si>
    <t>SUMMARY OF SELECTED VALVE</t>
  </si>
  <si>
    <t>ENTER THE FOLLOWING SIZING PARAMETERS</t>
  </si>
  <si>
    <t>ENTER YOUR SIZE / SERIES PREFERENCES BELOW</t>
  </si>
  <si>
    <t>*Model B90GE-01/LFS is a Fully ported valve - Example: 100mm Valve has 100mm Flanges and 100mm internals</t>
  </si>
  <si>
    <t>*Model B-NGE90-01/LFS is a Reduced ported valve - Example: 100mm Valve has 100mm Flanges and 80mm Internals</t>
  </si>
  <si>
    <t>ENTER THE FOLLOWING SIZING PARAMETERS:</t>
  </si>
  <si>
    <t>Velocity  [m/s]</t>
  </si>
  <si>
    <t>MINIMUM Inlet pressure:</t>
  </si>
  <si>
    <t>MAXIMUM Inlet pressure:</t>
  </si>
  <si>
    <t>Outlet Pressure:</t>
  </si>
  <si>
    <t>SIZING RULES:</t>
  </si>
  <si>
    <t>Valve size [mm]:</t>
  </si>
  <si>
    <t>Valve series:  [1]  B-90GE-01/LFS or [2]  NGE-B90-01/LFS</t>
  </si>
  <si>
    <r>
      <t xml:space="preserve">CLA-VAL  UK     </t>
    </r>
    <r>
      <rPr>
        <sz val="28"/>
        <color theme="0"/>
        <rFont val="Calibri"/>
        <family val="2"/>
        <scheme val="minor"/>
      </rPr>
      <t xml:space="preserve"> Tel</t>
    </r>
    <r>
      <rPr>
        <b/>
        <sz val="28"/>
        <color theme="0"/>
        <rFont val="Calibri"/>
        <family val="2"/>
        <scheme val="minor"/>
      </rPr>
      <t xml:space="preserve">: 01892 514400   </t>
    </r>
    <r>
      <rPr>
        <sz val="28"/>
        <color theme="0"/>
        <rFont val="Calibri"/>
        <family val="2"/>
        <scheme val="minor"/>
      </rPr>
      <t>Email</t>
    </r>
    <r>
      <rPr>
        <b/>
        <sz val="28"/>
        <color theme="0"/>
        <rFont val="Calibri"/>
        <family val="2"/>
        <scheme val="minor"/>
      </rPr>
      <t>: info@cla-val.co.uk</t>
    </r>
  </si>
  <si>
    <r>
      <t xml:space="preserve">CLA-VAL UK    </t>
    </r>
    <r>
      <rPr>
        <sz val="24"/>
        <color theme="0"/>
        <rFont val="Calibri"/>
        <family val="2"/>
        <scheme val="minor"/>
      </rPr>
      <t xml:space="preserve">Tel: </t>
    </r>
    <r>
      <rPr>
        <b/>
        <sz val="24"/>
        <color theme="0"/>
        <rFont val="Calibri"/>
        <family val="2"/>
        <scheme val="minor"/>
      </rPr>
      <t>01892 514400</t>
    </r>
    <r>
      <rPr>
        <sz val="24"/>
        <color theme="0"/>
        <rFont val="Calibri"/>
        <family val="2"/>
        <scheme val="minor"/>
      </rPr>
      <t xml:space="preserve">   Email: </t>
    </r>
    <r>
      <rPr>
        <b/>
        <sz val="24"/>
        <color theme="0"/>
        <rFont val="Calibri"/>
        <family val="2"/>
        <scheme val="minor"/>
      </rPr>
      <t>info@cla-val.co.uk</t>
    </r>
  </si>
  <si>
    <r>
      <rPr>
        <b/>
        <sz val="24"/>
        <color rgb="FFFFFFFF"/>
        <rFont val="Calibri"/>
        <family val="2"/>
        <scheme val="minor"/>
      </rPr>
      <t>Pressure Reducing Valve - SIZING GUIDE</t>
    </r>
    <r>
      <rPr>
        <b/>
        <sz val="20"/>
        <color rgb="FFFFFFFF"/>
        <rFont val="Calibri"/>
        <family val="2"/>
        <scheme val="minor"/>
      </rPr>
      <t xml:space="preserve"> -</t>
    </r>
    <r>
      <rPr>
        <b/>
        <sz val="22"/>
        <color indexed="9"/>
        <rFont val="Calibri"/>
        <family val="2"/>
        <scheme val="minor"/>
      </rPr>
      <t xml:space="preserve"> </t>
    </r>
    <r>
      <rPr>
        <b/>
        <sz val="14"/>
        <color rgb="FFFFFFFF"/>
        <rFont val="Calibri"/>
        <family val="2"/>
        <scheme val="minor"/>
      </rPr>
      <t>Version 1.0</t>
    </r>
  </si>
  <si>
    <r>
      <rPr>
        <b/>
        <sz val="26"/>
        <color rgb="FFFFFFFF"/>
        <rFont val="Calibri"/>
        <family val="2"/>
        <scheme val="minor"/>
      </rPr>
      <t>Pressure Reducing Valve - SIZING GUIDE</t>
    </r>
    <r>
      <rPr>
        <b/>
        <sz val="24"/>
        <color rgb="FFFFFFFF"/>
        <rFont val="Calibri"/>
        <family val="2"/>
        <scheme val="minor"/>
      </rPr>
      <t xml:space="preserve">   - </t>
    </r>
    <r>
      <rPr>
        <b/>
        <sz val="16"/>
        <color rgb="FFFFFFFF"/>
        <rFont val="Calibri"/>
        <family val="2"/>
        <scheme val="minor"/>
      </rPr>
      <t>Version 1.0</t>
    </r>
  </si>
  <si>
    <t>Velocity 2m/s MAX, Pressure drop ratio 3 to 1 MAX</t>
  </si>
  <si>
    <t>Kvs [m3/h]:</t>
  </si>
  <si>
    <t>Enter project ref here..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</si>
</sst>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&quot;"/>
    <numFmt numFmtId="165" formatCode="0.0"/>
    <numFmt numFmtId="166" formatCode="0.000"/>
    <numFmt numFmtId="167" formatCode="&quot;&quot;&quot;&quot;"/>
    <numFmt numFmtId="168" formatCode="[$-F800]dddd\,\ mmmm\ dd\,\ yyyy"/>
  </numFmts>
  <fonts count="100">
    <font>
      <sz val="10"/>
      <name val="Geneva"/>
    </font>
    <font>
      <b/>
      <sz val="10"/>
      <name val="Geneva"/>
    </font>
    <font>
      <sz val="10"/>
      <name val="Times New Roman"/>
      <family val="1"/>
    </font>
    <font>
      <sz val="8"/>
      <name val="Times New Roman"/>
      <family val="1"/>
    </font>
    <font>
      <sz val="8"/>
      <name val="Geneva"/>
    </font>
    <font>
      <sz val="10"/>
      <color indexed="9"/>
      <name val="Geneva"/>
    </font>
    <font>
      <b/>
      <sz val="10"/>
      <name val="Times New Roman"/>
      <family val="1"/>
    </font>
    <font>
      <sz val="10"/>
      <color indexed="10"/>
      <name val="Geneva"/>
    </font>
    <font>
      <sz val="12"/>
      <name val="Geneva"/>
    </font>
    <font>
      <sz val="12"/>
      <name val="Times New Roman"/>
      <family val="1"/>
    </font>
    <font>
      <sz val="12"/>
      <color indexed="9"/>
      <name val="Geneva"/>
    </font>
    <font>
      <sz val="12"/>
      <color indexed="10"/>
      <name val="Geneva"/>
    </font>
    <font>
      <sz val="11"/>
      <name val="Geneva"/>
    </font>
    <font>
      <sz val="11"/>
      <name val="Times New Roman"/>
      <family val="1"/>
    </font>
    <font>
      <sz val="11"/>
      <color indexed="9"/>
      <name val="Geneva"/>
    </font>
    <font>
      <sz val="11"/>
      <color indexed="10"/>
      <name val="Geneva"/>
    </font>
    <font>
      <b/>
      <sz val="12"/>
      <name val="Times New Roman"/>
      <family val="1"/>
    </font>
    <font>
      <b/>
      <sz val="10"/>
      <color indexed="9"/>
      <name val="Geneva"/>
    </font>
    <font>
      <b/>
      <sz val="8"/>
      <name val="Times New Roman"/>
      <family val="1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16"/>
      <name val="Geneva"/>
    </font>
    <font>
      <sz val="16"/>
      <name val="Times New Roman"/>
      <family val="1"/>
    </font>
    <font>
      <sz val="8"/>
      <name val="Times New Roman"/>
      <family val="1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rgb="FF0070C0"/>
      <name val="Times New Roman"/>
      <family val="1"/>
    </font>
    <font>
      <b/>
      <sz val="14"/>
      <color indexed="1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indexed="10"/>
      <name val="Calibri"/>
      <family val="2"/>
      <scheme val="minor"/>
    </font>
    <font>
      <sz val="12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22"/>
      <color indexed="9"/>
      <name val="Calibri"/>
      <family val="2"/>
      <scheme val="minor"/>
    </font>
    <font>
      <sz val="28"/>
      <color theme="4" tint="0.79998168889431442"/>
      <name val="Impact"/>
      <family val="2"/>
    </font>
    <font>
      <b/>
      <sz val="8"/>
      <color theme="0"/>
      <name val="Times New Roman"/>
      <family val="1"/>
    </font>
    <font>
      <sz val="8"/>
      <color theme="0"/>
      <name val="Times New Roman"/>
      <family val="1"/>
    </font>
    <font>
      <b/>
      <i/>
      <sz val="8"/>
      <color theme="0"/>
      <name val="Times New Roman"/>
      <family val="1"/>
    </font>
    <font>
      <sz val="10"/>
      <color theme="0"/>
      <name val="Times New Roman"/>
      <family val="1"/>
    </font>
    <font>
      <b/>
      <sz val="8"/>
      <color theme="0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indexed="9"/>
      <name val="Geneva"/>
    </font>
    <font>
      <sz val="10"/>
      <color theme="0"/>
      <name val="Geneva"/>
    </font>
    <font>
      <sz val="8"/>
      <color theme="0"/>
      <name val="NewCenturySchlbk"/>
    </font>
    <font>
      <sz val="8"/>
      <color theme="0"/>
      <name val="Symbol"/>
      <family val="1"/>
      <charset val="2"/>
    </font>
    <font>
      <sz val="8"/>
      <color theme="0"/>
      <name val="Geneva"/>
    </font>
    <font>
      <sz val="10"/>
      <color theme="0"/>
      <name val="Courier New"/>
      <family val="3"/>
    </font>
    <font>
      <b/>
      <sz val="10"/>
      <color theme="0"/>
      <name val="Geneva"/>
    </font>
    <font>
      <b/>
      <sz val="12"/>
      <color theme="0"/>
      <name val="Times New Roman"/>
      <family val="1"/>
    </font>
    <font>
      <b/>
      <sz val="11"/>
      <name val="Geneva"/>
    </font>
    <font>
      <b/>
      <sz val="12"/>
      <name val="Geneva"/>
    </font>
    <font>
      <b/>
      <sz val="12"/>
      <color theme="1"/>
      <name val="Calibri"/>
      <family val="2"/>
      <scheme val="minor"/>
    </font>
    <font>
      <b/>
      <sz val="18"/>
      <color indexed="10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sz val="10"/>
      <color theme="0"/>
      <name val="Courier New"/>
      <family val="3"/>
    </font>
    <font>
      <sz val="11"/>
      <name val="Calibri"/>
      <family val="2"/>
      <scheme val="minor"/>
    </font>
    <font>
      <sz val="10"/>
      <name val="Courier New"/>
      <family val="3"/>
    </font>
    <font>
      <b/>
      <sz val="10"/>
      <name val="Courier New"/>
      <family val="3"/>
    </font>
    <font>
      <b/>
      <sz val="20"/>
      <name val="Courier New"/>
      <family val="3"/>
    </font>
    <font>
      <b/>
      <sz val="20"/>
      <name val="Calibri"/>
      <family val="2"/>
    </font>
    <font>
      <sz val="8"/>
      <name val="Courier New"/>
      <family val="3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0"/>
      <name val="Geneva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9"/>
      <name val="Geneva"/>
    </font>
    <font>
      <sz val="8"/>
      <color theme="0"/>
      <name val="Arial Narrow"/>
      <family val="2"/>
    </font>
    <font>
      <b/>
      <sz val="11"/>
      <name val="Courier New"/>
      <family val="3"/>
    </font>
    <font>
      <b/>
      <sz val="16"/>
      <name val="Calibri"/>
      <family val="2"/>
    </font>
    <font>
      <sz val="10"/>
      <name val="Calibri"/>
      <family val="2"/>
      <scheme val="minor"/>
    </font>
    <font>
      <b/>
      <sz val="10"/>
      <name val="Arial Narrow"/>
      <family val="2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8"/>
      <color theme="0"/>
      <name val="Impact"/>
      <family val="2"/>
    </font>
    <font>
      <sz val="28"/>
      <color theme="0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24"/>
      <color theme="0"/>
      <name val="Impact"/>
      <family val="2"/>
    </font>
    <font>
      <sz val="24"/>
      <color theme="0"/>
      <name val="Calibri"/>
      <family val="2"/>
      <scheme val="minor"/>
    </font>
    <font>
      <sz val="24"/>
      <color theme="4" tint="0.79998168889431442"/>
      <name val="Impact"/>
      <family val="2"/>
    </font>
    <font>
      <b/>
      <sz val="24"/>
      <color theme="0"/>
      <name val="Calibri"/>
      <family val="2"/>
      <scheme val="minor"/>
    </font>
    <font>
      <b/>
      <sz val="22"/>
      <color rgb="FFFFFFFF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26"/>
      <color rgb="FFFFFF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gray06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fgColor indexed="9"/>
        <bgColor theme="3" tint="0.79998168889431442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4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5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0" fontId="7" fillId="0" borderId="0" xfId="0" applyFont="1" applyProtection="1"/>
    <xf numFmtId="165" fontId="5" fillId="0" borderId="0" xfId="0" applyNumberFormat="1" applyFont="1" applyProtection="1"/>
    <xf numFmtId="0" fontId="8" fillId="0" borderId="0" xfId="0" applyFont="1" applyProtection="1"/>
    <xf numFmtId="0" fontId="9" fillId="0" borderId="0" xfId="0" applyFont="1" applyBorder="1" applyProtection="1"/>
    <xf numFmtId="0" fontId="8" fillId="0" borderId="0" xfId="0" applyFont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Protection="1"/>
    <xf numFmtId="0" fontId="10" fillId="0" borderId="0" xfId="0" applyFont="1" applyProtection="1"/>
    <xf numFmtId="165" fontId="10" fillId="0" borderId="0" xfId="0" applyNumberFormat="1" applyFont="1" applyProtection="1"/>
    <xf numFmtId="0" fontId="11" fillId="0" borderId="0" xfId="0" applyFont="1" applyProtection="1"/>
    <xf numFmtId="0" fontId="12" fillId="0" borderId="0" xfId="0" applyFont="1" applyProtection="1"/>
    <xf numFmtId="0" fontId="13" fillId="0" borderId="0" xfId="0" applyFont="1" applyBorder="1" applyProtection="1"/>
    <xf numFmtId="0" fontId="12" fillId="0" borderId="0" xfId="0" applyFont="1" applyBorder="1" applyProtection="1"/>
    <xf numFmtId="0" fontId="13" fillId="0" borderId="0" xfId="0" applyFont="1" applyAlignment="1" applyProtection="1">
      <alignment horizontal="right"/>
    </xf>
    <xf numFmtId="0" fontId="14" fillId="0" borderId="0" xfId="0" applyFont="1" applyProtection="1"/>
    <xf numFmtId="0" fontId="15" fillId="0" borderId="0" xfId="0" applyFont="1" applyProtection="1"/>
    <xf numFmtId="0" fontId="6" fillId="0" borderId="0" xfId="0" applyNumberFormat="1" applyFont="1" applyBorder="1" applyProtection="1"/>
    <xf numFmtId="1" fontId="9" fillId="0" borderId="0" xfId="0" applyNumberFormat="1" applyFont="1" applyBorder="1" applyProtection="1"/>
    <xf numFmtId="0" fontId="6" fillId="0" borderId="11" xfId="0" applyNumberFormat="1" applyFont="1" applyBorder="1" applyProtection="1"/>
    <xf numFmtId="0" fontId="24" fillId="0" borderId="11" xfId="0" applyNumberFormat="1" applyFont="1" applyBorder="1" applyProtection="1"/>
    <xf numFmtId="0" fontId="24" fillId="0" borderId="11" xfId="0" applyNumberFormat="1" applyFont="1" applyFill="1" applyBorder="1" applyAlignment="1" applyProtection="1">
      <alignment horizontal="left"/>
    </xf>
    <xf numFmtId="0" fontId="36" fillId="4" borderId="0" xfId="0" applyFont="1" applyFill="1" applyBorder="1" applyProtection="1"/>
    <xf numFmtId="1" fontId="36" fillId="4" borderId="0" xfId="0" applyNumberFormat="1" applyFont="1" applyFill="1" applyBorder="1" applyProtection="1"/>
    <xf numFmtId="0" fontId="37" fillId="0" borderId="0" xfId="0" applyFont="1" applyBorder="1" applyProtection="1"/>
    <xf numFmtId="0" fontId="37" fillId="0" borderId="0" xfId="0" applyFont="1" applyBorder="1" applyAlignment="1" applyProtection="1">
      <alignment horizontal="center"/>
    </xf>
    <xf numFmtId="166" fontId="38" fillId="4" borderId="0" xfId="0" applyNumberFormat="1" applyFont="1" applyFill="1" applyBorder="1" applyProtection="1"/>
    <xf numFmtId="0" fontId="37" fillId="4" borderId="0" xfId="0" applyFont="1" applyFill="1" applyBorder="1" applyProtection="1"/>
    <xf numFmtId="166" fontId="36" fillId="4" borderId="0" xfId="0" applyNumberFormat="1" applyFont="1" applyFill="1" applyBorder="1" applyProtection="1"/>
    <xf numFmtId="0" fontId="36" fillId="4" borderId="0" xfId="0" applyFont="1" applyFill="1" applyBorder="1" applyAlignment="1" applyProtection="1">
      <alignment horizontal="center"/>
    </xf>
    <xf numFmtId="0" fontId="40" fillId="4" borderId="0" xfId="0" applyFont="1" applyFill="1" applyBorder="1" applyAlignment="1" applyProtection="1">
      <alignment horizontal="center"/>
    </xf>
    <xf numFmtId="166" fontId="36" fillId="4" borderId="0" xfId="0" applyNumberFormat="1" applyFont="1" applyFill="1" applyBorder="1" applyAlignment="1" applyProtection="1">
      <alignment horizontal="center"/>
    </xf>
    <xf numFmtId="167" fontId="36" fillId="4" borderId="0" xfId="0" applyNumberFormat="1" applyFont="1" applyFill="1" applyBorder="1" applyAlignment="1" applyProtection="1">
      <alignment horizontal="center"/>
    </xf>
    <xf numFmtId="0" fontId="37" fillId="0" borderId="0" xfId="0" applyFont="1" applyProtection="1"/>
    <xf numFmtId="1" fontId="36" fillId="4" borderId="0" xfId="0" applyNumberFormat="1" applyFont="1" applyFill="1" applyBorder="1" applyAlignment="1" applyProtection="1">
      <alignment horizontal="center"/>
    </xf>
    <xf numFmtId="2" fontId="36" fillId="4" borderId="0" xfId="0" applyNumberFormat="1" applyFont="1" applyFill="1" applyBorder="1" applyAlignment="1" applyProtection="1">
      <alignment horizontal="center"/>
    </xf>
    <xf numFmtId="165" fontId="36" fillId="4" borderId="0" xfId="0" applyNumberFormat="1" applyFont="1" applyFill="1" applyBorder="1" applyAlignment="1" applyProtection="1">
      <alignment horizontal="center"/>
    </xf>
    <xf numFmtId="0" fontId="41" fillId="0" borderId="0" xfId="0" applyFont="1" applyAlignment="1" applyProtection="1">
      <alignment horizontal="right"/>
    </xf>
    <xf numFmtId="0" fontId="25" fillId="0" borderId="0" xfId="0" applyFont="1" applyProtection="1"/>
    <xf numFmtId="0" fontId="17" fillId="0" borderId="0" xfId="0" applyFont="1" applyProtection="1"/>
    <xf numFmtId="0" fontId="42" fillId="0" borderId="0" xfId="0" applyFont="1" applyAlignment="1" applyProtection="1">
      <alignment horizontal="right"/>
    </xf>
    <xf numFmtId="164" fontId="6" fillId="0" borderId="0" xfId="0" applyNumberFormat="1" applyFont="1" applyProtection="1"/>
    <xf numFmtId="0" fontId="6" fillId="0" borderId="0" xfId="0" applyFont="1" applyProtection="1"/>
    <xf numFmtId="0" fontId="16" fillId="0" borderId="0" xfId="0" applyFont="1" applyProtection="1"/>
    <xf numFmtId="0" fontId="43" fillId="0" borderId="0" xfId="0" applyFont="1" applyProtection="1"/>
    <xf numFmtId="0" fontId="37" fillId="0" borderId="0" xfId="0" applyFont="1" applyAlignment="1" applyProtection="1">
      <alignment horizontal="center"/>
    </xf>
    <xf numFmtId="0" fontId="39" fillId="0" borderId="0" xfId="0" applyFont="1" applyProtection="1"/>
    <xf numFmtId="0" fontId="44" fillId="0" borderId="0" xfId="0" applyFont="1" applyProtection="1"/>
    <xf numFmtId="0" fontId="45" fillId="0" borderId="0" xfId="0" applyFont="1" applyAlignment="1" applyProtection="1">
      <alignment horizontal="center"/>
    </xf>
    <xf numFmtId="0" fontId="46" fillId="0" borderId="0" xfId="0" applyFont="1" applyAlignment="1" applyProtection="1">
      <alignment horizontal="center"/>
    </xf>
    <xf numFmtId="166" fontId="45" fillId="0" borderId="0" xfId="0" applyNumberFormat="1" applyFont="1" applyAlignment="1" applyProtection="1">
      <alignment horizontal="center"/>
    </xf>
    <xf numFmtId="0" fontId="47" fillId="0" borderId="0" xfId="0" applyFont="1" applyProtection="1"/>
    <xf numFmtId="164" fontId="39" fillId="0" borderId="0" xfId="0" applyNumberFormat="1" applyFont="1" applyProtection="1"/>
    <xf numFmtId="0" fontId="37" fillId="0" borderId="0" xfId="0" applyFont="1" applyAlignment="1" applyProtection="1">
      <alignment horizontal="left"/>
    </xf>
    <xf numFmtId="0" fontId="44" fillId="4" borderId="0" xfId="0" applyFont="1" applyFill="1" applyProtection="1"/>
    <xf numFmtId="0" fontId="49" fillId="4" borderId="0" xfId="0" applyFont="1" applyFill="1" applyProtection="1"/>
    <xf numFmtId="0" fontId="49" fillId="4" borderId="0" xfId="0" applyFont="1" applyFill="1" applyBorder="1" applyProtection="1"/>
    <xf numFmtId="0" fontId="44" fillId="4" borderId="0" xfId="0" applyFont="1" applyFill="1" applyBorder="1" applyProtection="1"/>
    <xf numFmtId="0" fontId="18" fillId="0" borderId="0" xfId="0" applyFont="1" applyAlignment="1" applyProtection="1">
      <alignment horizontal="left"/>
    </xf>
    <xf numFmtId="0" fontId="24" fillId="0" borderId="0" xfId="0" applyFont="1" applyAlignment="1" applyProtection="1">
      <alignment horizontal="left"/>
    </xf>
    <xf numFmtId="0" fontId="1" fillId="0" borderId="0" xfId="0" applyFont="1" applyProtection="1"/>
    <xf numFmtId="165" fontId="1" fillId="0" borderId="0" xfId="0" applyNumberFormat="1" applyFont="1" applyProtection="1"/>
    <xf numFmtId="0" fontId="51" fillId="0" borderId="0" xfId="0" applyFont="1" applyProtection="1"/>
    <xf numFmtId="165" fontId="51" fillId="0" borderId="0" xfId="0" applyNumberFormat="1" applyFont="1" applyProtection="1"/>
    <xf numFmtId="0" fontId="52" fillId="0" borderId="0" xfId="0" applyFont="1" applyProtection="1"/>
    <xf numFmtId="165" fontId="52" fillId="0" borderId="0" xfId="0" applyNumberFormat="1" applyFont="1" applyProtection="1"/>
    <xf numFmtId="164" fontId="6" fillId="0" borderId="0" xfId="0" applyNumberFormat="1" applyFont="1" applyAlignment="1" applyProtection="1">
      <alignment horizontal="center"/>
    </xf>
    <xf numFmtId="1" fontId="24" fillId="0" borderId="0" xfId="0" applyNumberFormat="1" applyFont="1" applyAlignment="1" applyProtection="1">
      <alignment horizontal="left"/>
    </xf>
    <xf numFmtId="2" fontId="28" fillId="12" borderId="0" xfId="0" applyNumberFormat="1" applyFont="1" applyFill="1" applyBorder="1" applyAlignment="1" applyProtection="1">
      <alignment horizontal="center"/>
    </xf>
    <xf numFmtId="0" fontId="56" fillId="9" borderId="20" xfId="0" applyFont="1" applyFill="1" applyBorder="1" applyProtection="1"/>
    <xf numFmtId="0" fontId="56" fillId="9" borderId="21" xfId="0" applyFont="1" applyFill="1" applyBorder="1" applyProtection="1"/>
    <xf numFmtId="2" fontId="58" fillId="8" borderId="18" xfId="0" applyNumberFormat="1" applyFont="1" applyFill="1" applyBorder="1" applyAlignment="1" applyProtection="1">
      <alignment horizontal="center"/>
    </xf>
    <xf numFmtId="0" fontId="36" fillId="0" borderId="0" xfId="0" applyFont="1" applyAlignment="1" applyProtection="1">
      <alignment horizontal="center"/>
    </xf>
    <xf numFmtId="164" fontId="59" fillId="0" borderId="0" xfId="0" applyNumberFormat="1" applyFont="1" applyAlignment="1" applyProtection="1">
      <alignment horizontal="center"/>
    </xf>
    <xf numFmtId="0" fontId="59" fillId="0" borderId="0" xfId="0" applyFont="1" applyProtection="1"/>
    <xf numFmtId="0" fontId="49" fillId="0" borderId="0" xfId="0" applyFont="1" applyProtection="1"/>
    <xf numFmtId="165" fontId="49" fillId="0" borderId="0" xfId="0" applyNumberFormat="1" applyFont="1" applyProtection="1"/>
    <xf numFmtId="165" fontId="44" fillId="0" borderId="0" xfId="0" applyNumberFormat="1" applyFont="1" applyProtection="1"/>
    <xf numFmtId="1" fontId="60" fillId="0" borderId="0" xfId="0" applyNumberFormat="1" applyFont="1" applyProtection="1"/>
    <xf numFmtId="0" fontId="26" fillId="0" borderId="0" xfId="0" applyNumberFormat="1" applyFont="1" applyBorder="1" applyProtection="1"/>
    <xf numFmtId="0" fontId="32" fillId="0" borderId="0" xfId="0" applyNumberFormat="1" applyFont="1" applyBorder="1" applyProtection="1"/>
    <xf numFmtId="0" fontId="27" fillId="0" borderId="0" xfId="0" applyNumberFormat="1" applyFont="1" applyBorder="1" applyAlignment="1" applyProtection="1">
      <alignment horizontal="center"/>
    </xf>
    <xf numFmtId="2" fontId="58" fillId="8" borderId="38" xfId="0" applyNumberFormat="1" applyFont="1" applyFill="1" applyBorder="1" applyAlignment="1" applyProtection="1">
      <alignment horizontal="center"/>
    </xf>
    <xf numFmtId="0" fontId="22" fillId="0" borderId="15" xfId="0" applyFont="1" applyBorder="1" applyProtection="1"/>
    <xf numFmtId="0" fontId="3" fillId="0" borderId="4" xfId="0" applyFont="1" applyBorder="1" applyProtection="1"/>
    <xf numFmtId="0" fontId="27" fillId="0" borderId="5" xfId="0" applyNumberFormat="1" applyFont="1" applyBorder="1" applyAlignment="1" applyProtection="1">
      <alignment horizontal="center"/>
    </xf>
    <xf numFmtId="164" fontId="2" fillId="0" borderId="0" xfId="0" applyNumberFormat="1" applyFont="1" applyProtection="1"/>
    <xf numFmtId="0" fontId="6" fillId="5" borderId="30" xfId="0" applyNumberFormat="1" applyFont="1" applyFill="1" applyBorder="1" applyProtection="1"/>
    <xf numFmtId="164" fontId="25" fillId="0" borderId="0" xfId="0" applyNumberFormat="1" applyFont="1" applyProtection="1"/>
    <xf numFmtId="164" fontId="2" fillId="0" borderId="0" xfId="0" applyNumberFormat="1" applyFont="1" applyAlignment="1" applyProtection="1">
      <alignment horizontal="center"/>
    </xf>
    <xf numFmtId="0" fontId="39" fillId="0" borderId="0" xfId="0" quotePrefix="1" applyFont="1" applyBorder="1" applyProtection="1"/>
    <xf numFmtId="0" fontId="39" fillId="0" borderId="0" xfId="0" applyFont="1" applyBorder="1" applyProtection="1"/>
    <xf numFmtId="0" fontId="39" fillId="4" borderId="0" xfId="0" applyFont="1" applyFill="1" applyProtection="1"/>
    <xf numFmtId="164" fontId="39" fillId="4" borderId="0" xfId="0" applyNumberFormat="1" applyFont="1" applyFill="1" applyProtection="1"/>
    <xf numFmtId="165" fontId="44" fillId="4" borderId="0" xfId="0" applyNumberFormat="1" applyFont="1" applyFill="1" applyProtection="1"/>
    <xf numFmtId="1" fontId="39" fillId="4" borderId="0" xfId="0" applyNumberFormat="1" applyFont="1" applyFill="1" applyProtection="1"/>
    <xf numFmtId="0" fontId="48" fillId="4" borderId="0" xfId="0" applyFont="1" applyFill="1" applyProtection="1"/>
    <xf numFmtId="0" fontId="39" fillId="4" borderId="0" xfId="0" applyFont="1" applyFill="1" applyAlignment="1" applyProtection="1">
      <alignment horizontal="center"/>
    </xf>
    <xf numFmtId="166" fontId="39" fillId="4" borderId="0" xfId="0" applyNumberFormat="1" applyFont="1" applyFill="1" applyProtection="1"/>
    <xf numFmtId="165" fontId="44" fillId="4" borderId="0" xfId="0" applyNumberFormat="1" applyFont="1" applyFill="1" applyBorder="1" applyProtection="1"/>
    <xf numFmtId="0" fontId="37" fillId="4" borderId="0" xfId="0" applyFont="1" applyFill="1" applyProtection="1"/>
    <xf numFmtId="0" fontId="37" fillId="4" borderId="0" xfId="0" applyFont="1" applyFill="1" applyAlignment="1" applyProtection="1">
      <alignment horizontal="center"/>
    </xf>
    <xf numFmtId="1" fontId="37" fillId="4" borderId="0" xfId="0" applyNumberFormat="1" applyFont="1" applyFill="1" applyProtection="1"/>
    <xf numFmtId="1" fontId="48" fillId="4" borderId="0" xfId="0" applyNumberFormat="1" applyFont="1" applyFill="1" applyProtection="1"/>
    <xf numFmtId="166" fontId="37" fillId="4" borderId="0" xfId="0" applyNumberFormat="1" applyFont="1" applyFill="1" applyAlignment="1" applyProtection="1">
      <alignment horizontal="center"/>
    </xf>
    <xf numFmtId="2" fontId="37" fillId="4" borderId="0" xfId="0" applyNumberFormat="1" applyFont="1" applyFill="1" applyAlignment="1" applyProtection="1">
      <alignment horizontal="center"/>
    </xf>
    <xf numFmtId="165" fontId="37" fillId="4" borderId="0" xfId="0" applyNumberFormat="1" applyFont="1" applyFill="1" applyProtection="1"/>
    <xf numFmtId="0" fontId="50" fillId="4" borderId="0" xfId="0" applyFont="1" applyFill="1" applyProtection="1"/>
    <xf numFmtId="1" fontId="37" fillId="4" borderId="0" xfId="0" applyNumberFormat="1" applyFont="1" applyFill="1" applyBorder="1" applyAlignment="1" applyProtection="1">
      <alignment horizontal="center"/>
    </xf>
    <xf numFmtId="165" fontId="37" fillId="4" borderId="0" xfId="0" applyNumberFormat="1" applyFont="1" applyFill="1" applyBorder="1" applyAlignment="1" applyProtection="1">
      <alignment horizontal="right"/>
    </xf>
    <xf numFmtId="165" fontId="39" fillId="4" borderId="0" xfId="0" applyNumberFormat="1" applyFont="1" applyFill="1" applyProtection="1"/>
    <xf numFmtId="1" fontId="48" fillId="0" borderId="0" xfId="0" applyNumberFormat="1" applyFont="1" applyProtection="1"/>
    <xf numFmtId="0" fontId="0" fillId="0" borderId="0" xfId="0" applyFont="1" applyProtection="1"/>
    <xf numFmtId="0" fontId="48" fillId="0" borderId="0" xfId="0" applyFont="1" applyProtection="1"/>
    <xf numFmtId="0" fontId="56" fillId="0" borderId="0" xfId="0" applyFont="1" applyFill="1" applyBorder="1" applyProtection="1"/>
    <xf numFmtId="0" fontId="2" fillId="0" borderId="42" xfId="0" applyFont="1" applyBorder="1" applyProtection="1"/>
    <xf numFmtId="0" fontId="18" fillId="0" borderId="0" xfId="0" applyFont="1" applyAlignment="1" applyProtection="1">
      <alignment horizontal="center"/>
    </xf>
    <xf numFmtId="0" fontId="56" fillId="9" borderId="31" xfId="0" applyFont="1" applyFill="1" applyBorder="1" applyProtection="1"/>
    <xf numFmtId="1" fontId="25" fillId="8" borderId="32" xfId="0" applyNumberFormat="1" applyFont="1" applyFill="1" applyBorder="1" applyAlignment="1" applyProtection="1">
      <alignment horizontal="center"/>
    </xf>
    <xf numFmtId="1" fontId="25" fillId="8" borderId="33" xfId="0" applyNumberFormat="1" applyFont="1" applyFill="1" applyBorder="1" applyAlignment="1" applyProtection="1">
      <alignment horizontal="center"/>
    </xf>
    <xf numFmtId="165" fontId="25" fillId="8" borderId="16" xfId="0" applyNumberFormat="1" applyFont="1" applyFill="1" applyBorder="1" applyAlignment="1" applyProtection="1">
      <alignment horizontal="center"/>
    </xf>
    <xf numFmtId="1" fontId="25" fillId="8" borderId="17" xfId="0" applyNumberFormat="1" applyFont="1" applyFill="1" applyBorder="1" applyAlignment="1" applyProtection="1">
      <alignment horizontal="center"/>
    </xf>
    <xf numFmtId="165" fontId="25" fillId="8" borderId="18" xfId="0" applyNumberFormat="1" applyFont="1" applyFill="1" applyBorder="1" applyAlignment="1" applyProtection="1">
      <alignment horizontal="center"/>
    </xf>
    <xf numFmtId="1" fontId="25" fillId="8" borderId="19" xfId="0" applyNumberFormat="1" applyFont="1" applyFill="1" applyBorder="1" applyAlignment="1" applyProtection="1">
      <alignment horizontal="center"/>
    </xf>
    <xf numFmtId="0" fontId="0" fillId="0" borderId="0" xfId="0" applyFont="1" applyBorder="1" applyProtection="1"/>
    <xf numFmtId="0" fontId="0" fillId="0" borderId="1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0" fillId="0" borderId="4" xfId="0" applyFont="1" applyBorder="1" applyProtection="1"/>
    <xf numFmtId="0" fontId="64" fillId="3" borderId="0" xfId="0" applyFont="1" applyFill="1" applyBorder="1" applyProtection="1"/>
    <xf numFmtId="0" fontId="65" fillId="3" borderId="0" xfId="0" applyFont="1" applyFill="1" applyBorder="1" applyProtection="1"/>
    <xf numFmtId="0" fontId="0" fillId="3" borderId="0" xfId="0" applyFont="1" applyFill="1" applyBorder="1" applyProtection="1"/>
    <xf numFmtId="0" fontId="0" fillId="0" borderId="5" xfId="0" applyFont="1" applyBorder="1" applyProtection="1"/>
    <xf numFmtId="0" fontId="62" fillId="0" borderId="1" xfId="0" applyFont="1" applyBorder="1" applyProtection="1"/>
    <xf numFmtId="0" fontId="66" fillId="0" borderId="2" xfId="0" applyFont="1" applyBorder="1" applyProtection="1"/>
    <xf numFmtId="168" fontId="62" fillId="0" borderId="2" xfId="0" applyNumberFormat="1" applyFont="1" applyBorder="1" applyProtection="1"/>
    <xf numFmtId="0" fontId="62" fillId="0" borderId="2" xfId="0" applyFont="1" applyBorder="1" applyProtection="1"/>
    <xf numFmtId="0" fontId="62" fillId="0" borderId="3" xfId="0" applyFont="1" applyBorder="1" applyProtection="1"/>
    <xf numFmtId="0" fontId="62" fillId="0" borderId="4" xfId="0" applyFont="1" applyBorder="1" applyProtection="1"/>
    <xf numFmtId="0" fontId="67" fillId="0" borderId="0" xfId="0" applyFont="1" applyBorder="1" applyProtection="1"/>
    <xf numFmtId="0" fontId="63" fillId="0" borderId="0" xfId="0" applyFont="1" applyBorder="1" applyAlignment="1" applyProtection="1">
      <alignment horizontal="right"/>
    </xf>
    <xf numFmtId="0" fontId="63" fillId="0" borderId="0" xfId="0" applyFont="1" applyProtection="1"/>
    <xf numFmtId="0" fontId="62" fillId="0" borderId="5" xfId="0" applyFont="1" applyBorder="1" applyProtection="1"/>
    <xf numFmtId="0" fontId="63" fillId="0" borderId="0" xfId="0" applyFont="1" applyAlignment="1" applyProtection="1">
      <alignment horizontal="left"/>
    </xf>
    <xf numFmtId="0" fontId="63" fillId="0" borderId="0" xfId="0" applyFont="1" applyBorder="1" applyProtection="1"/>
    <xf numFmtId="1" fontId="60" fillId="5" borderId="0" xfId="0" applyNumberFormat="1" applyFont="1" applyFill="1" applyProtection="1"/>
    <xf numFmtId="0" fontId="24" fillId="0" borderId="32" xfId="0" applyFont="1" applyBorder="1" applyProtection="1"/>
    <xf numFmtId="0" fontId="24" fillId="0" borderId="44" xfId="0" applyFont="1" applyBorder="1" applyAlignment="1" applyProtection="1">
      <alignment horizontal="center"/>
    </xf>
    <xf numFmtId="0" fontId="24" fillId="0" borderId="33" xfId="0" applyFont="1" applyBorder="1" applyAlignment="1" applyProtection="1">
      <alignment horizontal="center"/>
    </xf>
    <xf numFmtId="0" fontId="24" fillId="0" borderId="16" xfId="0" applyFont="1" applyBorder="1" applyProtection="1"/>
    <xf numFmtId="0" fontId="24" fillId="0" borderId="12" xfId="0" applyFont="1" applyBorder="1" applyAlignment="1" applyProtection="1">
      <alignment horizontal="center"/>
    </xf>
    <xf numFmtId="0" fontId="24" fillId="0" borderId="17" xfId="0" applyFont="1" applyBorder="1" applyAlignment="1" applyProtection="1">
      <alignment horizontal="center"/>
    </xf>
    <xf numFmtId="0" fontId="2" fillId="0" borderId="0" xfId="0" applyFont="1" applyBorder="1" applyProtection="1"/>
    <xf numFmtId="0" fontId="61" fillId="0" borderId="16" xfId="0" applyFont="1" applyBorder="1" applyProtection="1"/>
    <xf numFmtId="0" fontId="61" fillId="0" borderId="12" xfId="0" applyFont="1" applyBorder="1" applyAlignment="1" applyProtection="1">
      <alignment horizontal="center"/>
    </xf>
    <xf numFmtId="0" fontId="61" fillId="0" borderId="17" xfId="0" applyFont="1" applyBorder="1" applyAlignment="1" applyProtection="1">
      <alignment horizontal="center"/>
    </xf>
    <xf numFmtId="2" fontId="68" fillId="15" borderId="12" xfId="0" applyNumberFormat="1" applyFont="1" applyFill="1" applyBorder="1" applyAlignment="1" applyProtection="1">
      <alignment horizontal="center"/>
    </xf>
    <xf numFmtId="2" fontId="68" fillId="15" borderId="17" xfId="0" applyNumberFormat="1" applyFont="1" applyFill="1" applyBorder="1" applyAlignment="1" applyProtection="1">
      <alignment horizontal="center"/>
    </xf>
    <xf numFmtId="0" fontId="0" fillId="0" borderId="18" xfId="0" applyBorder="1" applyProtection="1"/>
    <xf numFmtId="2" fontId="68" fillId="0" borderId="46" xfId="0" applyNumberFormat="1" applyFont="1" applyFill="1" applyBorder="1" applyAlignment="1" applyProtection="1">
      <alignment horizontal="center"/>
    </xf>
    <xf numFmtId="2" fontId="68" fillId="0" borderId="19" xfId="0" applyNumberFormat="1" applyFont="1" applyFill="1" applyBorder="1" applyAlignment="1" applyProtection="1">
      <alignment horizontal="center"/>
    </xf>
    <xf numFmtId="0" fontId="2" fillId="0" borderId="13" xfId="0" applyFont="1" applyBorder="1" applyProtection="1"/>
    <xf numFmtId="0" fontId="8" fillId="0" borderId="13" xfId="0" applyFont="1" applyBorder="1" applyProtection="1"/>
    <xf numFmtId="0" fontId="22" fillId="0" borderId="43" xfId="0" applyFont="1" applyBorder="1" applyProtection="1"/>
    <xf numFmtId="0" fontId="21" fillId="0" borderId="15" xfId="0" applyFont="1" applyBorder="1" applyProtection="1"/>
    <xf numFmtId="0" fontId="22" fillId="0" borderId="22" xfId="0" applyFont="1" applyBorder="1" applyProtection="1"/>
    <xf numFmtId="0" fontId="23" fillId="0" borderId="4" xfId="0" applyFont="1" applyBorder="1" applyProtection="1"/>
    <xf numFmtId="0" fontId="3" fillId="0" borderId="13" xfId="0" applyFont="1" applyBorder="1" applyProtection="1"/>
    <xf numFmtId="0" fontId="9" fillId="0" borderId="4" xfId="0" applyFont="1" applyBorder="1" applyProtection="1"/>
    <xf numFmtId="0" fontId="9" fillId="0" borderId="13" xfId="0" applyFont="1" applyBorder="1" applyProtection="1"/>
    <xf numFmtId="1" fontId="9" fillId="0" borderId="4" xfId="0" applyNumberFormat="1" applyFont="1" applyBorder="1" applyProtection="1"/>
    <xf numFmtId="0" fontId="13" fillId="0" borderId="4" xfId="0" applyFont="1" applyBorder="1" applyProtection="1"/>
    <xf numFmtId="0" fontId="13" fillId="0" borderId="13" xfId="0" applyFont="1" applyBorder="1" applyProtection="1"/>
    <xf numFmtId="0" fontId="3" fillId="0" borderId="13" xfId="0" applyFont="1" applyBorder="1" applyAlignment="1" applyProtection="1">
      <alignment horizontal="center"/>
    </xf>
    <xf numFmtId="0" fontId="3" fillId="0" borderId="48" xfId="0" applyFont="1" applyBorder="1" applyProtection="1"/>
    <xf numFmtId="0" fontId="3" fillId="0" borderId="29" xfId="0" applyFont="1" applyBorder="1" applyAlignment="1" applyProtection="1">
      <alignment horizontal="center"/>
    </xf>
    <xf numFmtId="0" fontId="3" fillId="0" borderId="42" xfId="0" applyFont="1" applyBorder="1" applyAlignment="1" applyProtection="1">
      <alignment horizontal="center"/>
    </xf>
    <xf numFmtId="0" fontId="44" fillId="0" borderId="0" xfId="0" applyFont="1" applyFill="1" applyProtection="1"/>
    <xf numFmtId="0" fontId="39" fillId="0" borderId="0" xfId="0" applyFont="1" applyFill="1" applyProtection="1"/>
    <xf numFmtId="0" fontId="37" fillId="0" borderId="0" xfId="0" applyFont="1" applyFill="1" applyAlignment="1" applyProtection="1">
      <alignment horizontal="right"/>
    </xf>
    <xf numFmtId="0" fontId="72" fillId="0" borderId="0" xfId="0" applyFont="1" applyFill="1" applyProtection="1"/>
    <xf numFmtId="0" fontId="49" fillId="0" borderId="0" xfId="0" applyFont="1" applyFill="1" applyProtection="1"/>
    <xf numFmtId="165" fontId="49" fillId="0" borderId="0" xfId="0" applyNumberFormat="1" applyFont="1" applyFill="1" applyProtection="1"/>
    <xf numFmtId="164" fontId="59" fillId="0" borderId="0" xfId="0" applyNumberFormat="1" applyFont="1" applyFill="1" applyAlignment="1" applyProtection="1">
      <alignment horizontal="center"/>
    </xf>
    <xf numFmtId="0" fontId="59" fillId="0" borderId="0" xfId="0" applyFont="1" applyFill="1" applyProtection="1"/>
    <xf numFmtId="0" fontId="37" fillId="0" borderId="0" xfId="0" applyFont="1" applyFill="1" applyBorder="1" applyProtection="1"/>
    <xf numFmtId="0" fontId="37" fillId="0" borderId="0" xfId="0" applyFont="1" applyFill="1" applyBorder="1" applyAlignment="1" applyProtection="1">
      <alignment horizontal="center"/>
    </xf>
    <xf numFmtId="2" fontId="2" fillId="0" borderId="0" xfId="0" applyNumberFormat="1" applyFont="1" applyProtection="1"/>
    <xf numFmtId="0" fontId="26" fillId="8" borderId="0" xfId="0" applyNumberFormat="1" applyFont="1" applyFill="1" applyBorder="1" applyAlignment="1" applyProtection="1">
      <alignment horizontal="left"/>
    </xf>
    <xf numFmtId="0" fontId="26" fillId="8" borderId="29" xfId="0" applyNumberFormat="1" applyFont="1" applyFill="1" applyBorder="1" applyAlignment="1" applyProtection="1">
      <alignment horizontal="left"/>
    </xf>
    <xf numFmtId="0" fontId="26" fillId="8" borderId="28" xfId="0" applyNumberFormat="1" applyFont="1" applyFill="1" applyBorder="1" applyAlignment="1" applyProtection="1">
      <alignment horizontal="left"/>
    </xf>
    <xf numFmtId="0" fontId="26" fillId="8" borderId="11" xfId="0" applyNumberFormat="1" applyFont="1" applyFill="1" applyBorder="1" applyAlignment="1" applyProtection="1">
      <alignment horizontal="left"/>
    </xf>
    <xf numFmtId="0" fontId="75" fillId="0" borderId="0" xfId="0" applyFont="1" applyProtection="1"/>
    <xf numFmtId="2" fontId="44" fillId="0" borderId="0" xfId="0" applyNumberFormat="1" applyFont="1" applyProtection="1"/>
    <xf numFmtId="0" fontId="44" fillId="0" borderId="4" xfId="0" applyFont="1" applyBorder="1" applyProtection="1"/>
    <xf numFmtId="0" fontId="44" fillId="0" borderId="5" xfId="0" applyFont="1" applyBorder="1" applyProtection="1"/>
    <xf numFmtId="0" fontId="76" fillId="4" borderId="0" xfId="0" applyFont="1" applyFill="1" applyBorder="1" applyProtection="1"/>
    <xf numFmtId="0" fontId="44" fillId="0" borderId="0" xfId="0" applyFont="1" applyBorder="1" applyProtection="1"/>
    <xf numFmtId="0" fontId="44" fillId="0" borderId="6" xfId="0" applyFont="1" applyBorder="1" applyProtection="1"/>
    <xf numFmtId="0" fontId="76" fillId="4" borderId="7" xfId="0" applyFont="1" applyFill="1" applyBorder="1" applyProtection="1"/>
    <xf numFmtId="0" fontId="44" fillId="0" borderId="7" xfId="0" applyFont="1" applyBorder="1" applyProtection="1"/>
    <xf numFmtId="0" fontId="44" fillId="0" borderId="8" xfId="0" applyFont="1" applyBorder="1" applyProtection="1"/>
    <xf numFmtId="0" fontId="62" fillId="0" borderId="6" xfId="0" applyFont="1" applyBorder="1" applyProtection="1"/>
    <xf numFmtId="0" fontId="62" fillId="0" borderId="7" xfId="0" applyFont="1" applyBorder="1" applyProtection="1"/>
    <xf numFmtId="0" fontId="63" fillId="0" borderId="7" xfId="0" applyFont="1" applyBorder="1" applyProtection="1"/>
    <xf numFmtId="0" fontId="62" fillId="0" borderId="8" xfId="0" applyFont="1" applyBorder="1" applyProtection="1"/>
    <xf numFmtId="0" fontId="78" fillId="3" borderId="0" xfId="0" applyFont="1" applyFill="1" applyBorder="1" applyProtection="1"/>
    <xf numFmtId="0" fontId="62" fillId="0" borderId="0" xfId="0" applyFont="1" applyBorder="1" applyProtection="1"/>
    <xf numFmtId="0" fontId="25" fillId="0" borderId="0" xfId="0" applyFont="1" applyAlignment="1" applyProtection="1">
      <alignment horizontal="left"/>
    </xf>
    <xf numFmtId="0" fontId="79" fillId="0" borderId="0" xfId="0" applyFont="1" applyProtection="1"/>
    <xf numFmtId="0" fontId="42" fillId="0" borderId="0" xfId="0" applyFont="1" applyProtection="1"/>
    <xf numFmtId="1" fontId="26" fillId="14" borderId="9" xfId="0" applyNumberFormat="1" applyFont="1" applyFill="1" applyBorder="1" applyAlignment="1" applyProtection="1">
      <alignment horizontal="center"/>
    </xf>
    <xf numFmtId="0" fontId="79" fillId="0" borderId="0" xfId="0" applyFont="1" applyBorder="1" applyProtection="1"/>
    <xf numFmtId="0" fontId="26" fillId="14" borderId="14" xfId="0" applyFont="1" applyFill="1" applyBorder="1" applyAlignment="1" applyProtection="1">
      <alignment horizontal="center"/>
    </xf>
    <xf numFmtId="0" fontId="56" fillId="0" borderId="0" xfId="0" applyFont="1" applyAlignment="1" applyProtection="1">
      <alignment horizontal="left"/>
    </xf>
    <xf numFmtId="2" fontId="24" fillId="3" borderId="10" xfId="0" applyNumberFormat="1" applyFont="1" applyFill="1" applyBorder="1" applyAlignment="1" applyProtection="1">
      <alignment horizontal="center"/>
    </xf>
    <xf numFmtId="1" fontId="24" fillId="3" borderId="10" xfId="0" applyNumberFormat="1" applyFont="1" applyFill="1" applyBorder="1" applyAlignment="1" applyProtection="1">
      <alignment horizontal="center"/>
    </xf>
    <xf numFmtId="0" fontId="67" fillId="3" borderId="12" xfId="0" applyFont="1" applyFill="1" applyBorder="1" applyProtection="1"/>
    <xf numFmtId="0" fontId="25" fillId="0" borderId="30" xfId="0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center" wrapText="1"/>
    </xf>
    <xf numFmtId="167" fontId="2" fillId="0" borderId="5" xfId="0" applyNumberFormat="1" applyFont="1" applyBorder="1" applyAlignment="1" applyProtection="1">
      <alignment horizontal="center"/>
    </xf>
    <xf numFmtId="167" fontId="25" fillId="0" borderId="12" xfId="0" applyNumberFormat="1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left"/>
    </xf>
    <xf numFmtId="2" fontId="25" fillId="0" borderId="12" xfId="0" applyNumberFormat="1" applyFont="1" applyBorder="1" applyAlignment="1" applyProtection="1">
      <alignment horizontal="center"/>
    </xf>
    <xf numFmtId="0" fontId="67" fillId="3" borderId="0" xfId="0" applyFont="1" applyFill="1" applyBorder="1" applyProtection="1"/>
    <xf numFmtId="0" fontId="80" fillId="4" borderId="2" xfId="0" applyFont="1" applyFill="1" applyBorder="1" applyProtection="1"/>
    <xf numFmtId="165" fontId="26" fillId="12" borderId="16" xfId="0" applyNumberFormat="1" applyFont="1" applyFill="1" applyBorder="1" applyAlignment="1" applyProtection="1">
      <alignment horizontal="left"/>
    </xf>
    <xf numFmtId="0" fontId="53" fillId="13" borderId="11" xfId="0" applyNumberFormat="1" applyFont="1" applyFill="1" applyBorder="1" applyAlignment="1" applyProtection="1">
      <alignment horizontal="left" indent="3"/>
    </xf>
    <xf numFmtId="0" fontId="24" fillId="0" borderId="11" xfId="0" applyNumberFormat="1" applyFont="1" applyBorder="1" applyAlignment="1" applyProtection="1">
      <alignment horizontal="left" indent="3"/>
    </xf>
    <xf numFmtId="0" fontId="26" fillId="12" borderId="11" xfId="0" applyNumberFormat="1" applyFont="1" applyFill="1" applyBorder="1" applyProtection="1"/>
    <xf numFmtId="0" fontId="26" fillId="12" borderId="0" xfId="0" applyNumberFormat="1" applyFont="1" applyFill="1" applyBorder="1" applyAlignment="1" applyProtection="1">
      <alignment horizontal="center"/>
    </xf>
    <xf numFmtId="0" fontId="31" fillId="12" borderId="11" xfId="0" applyNumberFormat="1" applyFont="1" applyFill="1" applyBorder="1" applyProtection="1"/>
    <xf numFmtId="0" fontId="54" fillId="12" borderId="0" xfId="0" applyNumberFormat="1" applyFont="1" applyFill="1" applyBorder="1" applyAlignment="1" applyProtection="1">
      <alignment horizontal="center"/>
    </xf>
    <xf numFmtId="0" fontId="81" fillId="13" borderId="50" xfId="0" applyFont="1" applyFill="1" applyBorder="1" applyAlignment="1" applyProtection="1">
      <alignment horizontal="left" indent="3"/>
    </xf>
    <xf numFmtId="2" fontId="82" fillId="13" borderId="3" xfId="0" applyNumberFormat="1" applyFont="1" applyFill="1" applyBorder="1" applyAlignment="1" applyProtection="1">
      <alignment horizontal="center"/>
    </xf>
    <xf numFmtId="2" fontId="82" fillId="13" borderId="34" xfId="0" applyNumberFormat="1" applyFont="1" applyFill="1" applyBorder="1" applyAlignment="1" applyProtection="1">
      <alignment horizontal="center"/>
    </xf>
    <xf numFmtId="0" fontId="81" fillId="13" borderId="51" xfId="0" applyFont="1" applyFill="1" applyBorder="1" applyAlignment="1" applyProtection="1">
      <alignment horizontal="left" indent="3"/>
    </xf>
    <xf numFmtId="2" fontId="82" fillId="13" borderId="5" xfId="0" applyNumberFormat="1" applyFont="1" applyFill="1" applyBorder="1" applyAlignment="1" applyProtection="1">
      <alignment horizontal="center"/>
    </xf>
    <xf numFmtId="2" fontId="82" fillId="13" borderId="30" xfId="0" applyNumberFormat="1" applyFont="1" applyFill="1" applyBorder="1" applyAlignment="1" applyProtection="1">
      <alignment horizontal="center"/>
    </xf>
    <xf numFmtId="0" fontId="81" fillId="13" borderId="26" xfId="0" applyFont="1" applyFill="1" applyBorder="1" applyAlignment="1" applyProtection="1">
      <alignment horizontal="left" indent="3"/>
    </xf>
    <xf numFmtId="2" fontId="82" fillId="13" borderId="8" xfId="0" applyNumberFormat="1" applyFont="1" applyFill="1" applyBorder="1" applyAlignment="1" applyProtection="1">
      <alignment horizontal="center"/>
    </xf>
    <xf numFmtId="2" fontId="82" fillId="13" borderId="49" xfId="0" applyNumberFormat="1" applyFont="1" applyFill="1" applyBorder="1" applyAlignment="1" applyProtection="1">
      <alignment horizontal="center"/>
    </xf>
    <xf numFmtId="165" fontId="26" fillId="12" borderId="12" xfId="0" applyNumberFormat="1" applyFont="1" applyFill="1" applyBorder="1" applyAlignment="1" applyProtection="1">
      <alignment horizontal="center"/>
    </xf>
    <xf numFmtId="2" fontId="68" fillId="13" borderId="5" xfId="0" applyNumberFormat="1" applyFont="1" applyFill="1" applyBorder="1" applyAlignment="1" applyProtection="1">
      <alignment horizontal="center"/>
    </xf>
    <xf numFmtId="2" fontId="68" fillId="13" borderId="30" xfId="0" applyNumberFormat="1" applyFont="1" applyFill="1" applyBorder="1" applyAlignment="1" applyProtection="1">
      <alignment horizontal="center"/>
    </xf>
    <xf numFmtId="0" fontId="30" fillId="0" borderId="45" xfId="0" applyFont="1" applyBorder="1" applyAlignment="1" applyProtection="1">
      <alignment horizontal="left"/>
    </xf>
    <xf numFmtId="0" fontId="61" fillId="0" borderId="52" xfId="0" applyFont="1" applyBorder="1" applyAlignment="1" applyProtection="1">
      <alignment horizontal="left"/>
    </xf>
    <xf numFmtId="1" fontId="30" fillId="13" borderId="24" xfId="0" applyNumberFormat="1" applyFont="1" applyFill="1" applyBorder="1" applyAlignment="1" applyProtection="1">
      <alignment horizontal="left"/>
    </xf>
    <xf numFmtId="1" fontId="30" fillId="13" borderId="23" xfId="0" applyNumberFormat="1" applyFont="1" applyFill="1" applyBorder="1" applyAlignment="1" applyProtection="1">
      <alignment horizontal="left"/>
    </xf>
    <xf numFmtId="1" fontId="30" fillId="13" borderId="27" xfId="0" applyNumberFormat="1" applyFont="1" applyFill="1" applyBorder="1" applyAlignment="1" applyProtection="1">
      <alignment horizontal="left"/>
    </xf>
    <xf numFmtId="1" fontId="30" fillId="13" borderId="27" xfId="0" applyNumberFormat="1" applyFont="1" applyFill="1" applyBorder="1" applyAlignment="1" applyProtection="1">
      <alignment horizontal="right"/>
    </xf>
    <xf numFmtId="1" fontId="55" fillId="8" borderId="34" xfId="0" applyNumberFormat="1" applyFont="1" applyFill="1" applyBorder="1" applyProtection="1"/>
    <xf numFmtId="0" fontId="55" fillId="8" borderId="41" xfId="0" applyNumberFormat="1" applyFont="1" applyFill="1" applyBorder="1" applyProtection="1"/>
    <xf numFmtId="1" fontId="97" fillId="10" borderId="30" xfId="0" applyNumberFormat="1" applyFont="1" applyFill="1" applyBorder="1" applyProtection="1">
      <protection locked="0"/>
    </xf>
    <xf numFmtId="1" fontId="98" fillId="13" borderId="41" xfId="0" applyNumberFormat="1" applyFont="1" applyFill="1" applyBorder="1" applyProtection="1">
      <protection locked="0"/>
    </xf>
    <xf numFmtId="0" fontId="26" fillId="10" borderId="34" xfId="0" applyNumberFormat="1" applyFont="1" applyFill="1" applyBorder="1" applyProtection="1">
      <protection locked="0"/>
    </xf>
    <xf numFmtId="1" fontId="26" fillId="10" borderId="30" xfId="0" applyNumberFormat="1" applyFont="1" applyFill="1" applyBorder="1" applyProtection="1">
      <protection locked="0"/>
    </xf>
    <xf numFmtId="2" fontId="26" fillId="10" borderId="30" xfId="0" applyNumberFormat="1" applyFont="1" applyFill="1" applyBorder="1" applyProtection="1">
      <protection locked="0"/>
    </xf>
    <xf numFmtId="0" fontId="90" fillId="7" borderId="25" xfId="0" applyFont="1" applyFill="1" applyBorder="1" applyAlignment="1" applyProtection="1">
      <alignment horizontal="left" vertical="center"/>
    </xf>
    <xf numFmtId="0" fontId="92" fillId="7" borderId="15" xfId="0" applyFont="1" applyFill="1" applyBorder="1" applyAlignment="1" applyProtection="1">
      <alignment horizontal="left" vertical="center"/>
    </xf>
    <xf numFmtId="0" fontId="34" fillId="7" borderId="28" xfId="0" applyFont="1" applyFill="1" applyBorder="1" applyAlignment="1" applyProtection="1">
      <alignment horizontal="left" vertical="center"/>
    </xf>
    <xf numFmtId="0" fontId="0" fillId="0" borderId="29" xfId="0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13" xfId="0" applyBorder="1" applyAlignment="1" applyProtection="1">
      <alignment horizontal="left"/>
    </xf>
    <xf numFmtId="0" fontId="29" fillId="4" borderId="4" xfId="0" applyNumberFormat="1" applyFont="1" applyFill="1" applyBorder="1" applyAlignment="1" applyProtection="1">
      <alignment horizontal="center"/>
    </xf>
    <xf numFmtId="0" fontId="30" fillId="0" borderId="0" xfId="0" applyFont="1" applyBorder="1" applyAlignment="1" applyProtection="1">
      <alignment horizontal="center"/>
    </xf>
    <xf numFmtId="0" fontId="30" fillId="0" borderId="13" xfId="0" applyFont="1" applyBorder="1" applyAlignment="1" applyProtection="1">
      <alignment horizontal="center"/>
    </xf>
    <xf numFmtId="0" fontId="71" fillId="12" borderId="4" xfId="0" applyFont="1" applyFill="1" applyBorder="1" applyAlignment="1" applyProtection="1">
      <alignment horizontal="center" vertical="center"/>
    </xf>
    <xf numFmtId="0" fontId="71" fillId="12" borderId="0" xfId="0" applyFont="1" applyFill="1" applyBorder="1" applyAlignment="1" applyProtection="1">
      <alignment horizontal="center" vertical="center"/>
    </xf>
    <xf numFmtId="0" fontId="71" fillId="12" borderId="13" xfId="0" applyFont="1" applyFill="1" applyBorder="1" applyAlignment="1" applyProtection="1">
      <alignment horizontal="center" vertical="center"/>
    </xf>
    <xf numFmtId="0" fontId="99" fillId="10" borderId="35" xfId="0" applyNumberFormat="1" applyFont="1" applyFill="1" applyBorder="1" applyAlignment="1" applyProtection="1">
      <protection locked="0"/>
    </xf>
    <xf numFmtId="0" fontId="32" fillId="10" borderId="36" xfId="0" applyNumberFormat="1" applyFont="1" applyFill="1" applyBorder="1" applyAlignment="1" applyProtection="1">
      <protection locked="0"/>
    </xf>
    <xf numFmtId="0" fontId="30" fillId="6" borderId="28" xfId="0" applyNumberFormat="1" applyFont="1" applyFill="1" applyBorder="1" applyAlignment="1" applyProtection="1">
      <alignment horizontal="center"/>
    </xf>
    <xf numFmtId="0" fontId="30" fillId="6" borderId="29" xfId="0" applyNumberFormat="1" applyFont="1" applyFill="1" applyBorder="1" applyAlignment="1" applyProtection="1">
      <alignment horizontal="center"/>
    </xf>
    <xf numFmtId="0" fontId="30" fillId="6" borderId="47" xfId="0" applyNumberFormat="1" applyFont="1" applyFill="1" applyBorder="1" applyAlignment="1" applyProtection="1">
      <alignment horizontal="center"/>
    </xf>
    <xf numFmtId="0" fontId="26" fillId="8" borderId="11" xfId="0" applyNumberFormat="1" applyFont="1" applyFill="1" applyBorder="1" applyAlignment="1" applyProtection="1">
      <alignment horizontal="center"/>
    </xf>
    <xf numFmtId="0" fontId="26" fillId="8" borderId="0" xfId="0" applyNumberFormat="1" applyFont="1" applyFill="1" applyBorder="1" applyAlignment="1" applyProtection="1">
      <alignment horizontal="center"/>
    </xf>
    <xf numFmtId="0" fontId="26" fillId="8" borderId="5" xfId="0" applyNumberFormat="1" applyFont="1" applyFill="1" applyBorder="1" applyAlignment="1" applyProtection="1">
      <alignment horizontal="center"/>
    </xf>
    <xf numFmtId="0" fontId="52" fillId="0" borderId="48" xfId="0" applyFont="1" applyBorder="1" applyAlignment="1" applyProtection="1">
      <alignment horizontal="center"/>
    </xf>
    <xf numFmtId="0" fontId="52" fillId="0" borderId="29" xfId="0" applyFont="1" applyBorder="1" applyAlignment="1" applyProtection="1">
      <alignment horizontal="center"/>
    </xf>
    <xf numFmtId="0" fontId="52" fillId="0" borderId="42" xfId="0" applyFont="1" applyBorder="1" applyAlignment="1" applyProtection="1">
      <alignment horizontal="center"/>
    </xf>
    <xf numFmtId="0" fontId="73" fillId="11" borderId="25" xfId="0" applyNumberFormat="1" applyFont="1" applyFill="1" applyBorder="1" applyAlignment="1" applyProtection="1">
      <alignment horizontal="center"/>
    </xf>
    <xf numFmtId="0" fontId="73" fillId="11" borderId="15" xfId="0" applyNumberFormat="1" applyFont="1" applyFill="1" applyBorder="1" applyAlignment="1" applyProtection="1">
      <alignment horizontal="center"/>
    </xf>
    <xf numFmtId="0" fontId="73" fillId="11" borderId="37" xfId="0" applyNumberFormat="1" applyFont="1" applyFill="1" applyBorder="1" applyAlignment="1" applyProtection="1">
      <alignment horizontal="center"/>
    </xf>
    <xf numFmtId="0" fontId="53" fillId="13" borderId="29" xfId="0" applyNumberFormat="1" applyFont="1" applyFill="1" applyBorder="1" applyAlignment="1" applyProtection="1">
      <alignment horizontal="center"/>
    </xf>
    <xf numFmtId="0" fontId="53" fillId="13" borderId="42" xfId="0" applyNumberFormat="1" applyFont="1" applyFill="1" applyBorder="1" applyAlignment="1" applyProtection="1">
      <alignment horizontal="center"/>
    </xf>
    <xf numFmtId="0" fontId="53" fillId="13" borderId="15" xfId="0" applyNumberFormat="1" applyFont="1" applyFill="1" applyBorder="1" applyAlignment="1" applyProtection="1">
      <alignment horizontal="center"/>
    </xf>
    <xf numFmtId="0" fontId="53" fillId="13" borderId="22" xfId="0" applyNumberFormat="1" applyFont="1" applyFill="1" applyBorder="1" applyAlignment="1" applyProtection="1">
      <alignment horizontal="center"/>
    </xf>
    <xf numFmtId="0" fontId="99" fillId="10" borderId="39" xfId="0" applyFont="1" applyFill="1" applyBorder="1" applyAlignment="1" applyProtection="1">
      <alignment vertical="top" wrapText="1"/>
      <protection locked="0"/>
    </xf>
    <xf numFmtId="0" fontId="99" fillId="0" borderId="2" xfId="0" applyFont="1" applyBorder="1" applyAlignment="1" applyProtection="1">
      <alignment vertical="top" wrapText="1"/>
      <protection locked="0"/>
    </xf>
    <xf numFmtId="0" fontId="99" fillId="0" borderId="3" xfId="0" applyFont="1" applyBorder="1" applyAlignment="1" applyProtection="1">
      <alignment vertical="top" wrapText="1"/>
      <protection locked="0"/>
    </xf>
    <xf numFmtId="0" fontId="99" fillId="0" borderId="11" xfId="0" applyFont="1" applyBorder="1" applyAlignment="1" applyProtection="1">
      <alignment vertical="top" wrapText="1"/>
      <protection locked="0"/>
    </xf>
    <xf numFmtId="0" fontId="99" fillId="0" borderId="0" xfId="0" applyFont="1" applyBorder="1" applyAlignment="1" applyProtection="1">
      <alignment vertical="top" wrapText="1"/>
      <protection locked="0"/>
    </xf>
    <xf numFmtId="0" fontId="99" fillId="0" borderId="5" xfId="0" applyFont="1" applyBorder="1" applyAlignment="1" applyProtection="1">
      <alignment vertical="top" wrapText="1"/>
      <protection locked="0"/>
    </xf>
    <xf numFmtId="0" fontId="99" fillId="0" borderId="40" xfId="0" applyFont="1" applyBorder="1" applyAlignment="1" applyProtection="1">
      <alignment vertical="top" wrapText="1"/>
      <protection locked="0"/>
    </xf>
    <xf numFmtId="0" fontId="99" fillId="0" borderId="7" xfId="0" applyFont="1" applyBorder="1" applyAlignment="1" applyProtection="1">
      <alignment vertical="top" wrapText="1"/>
      <protection locked="0"/>
    </xf>
    <xf numFmtId="0" fontId="99" fillId="0" borderId="8" xfId="0" applyFont="1" applyBorder="1" applyAlignment="1" applyProtection="1">
      <alignment vertical="top" wrapText="1"/>
      <protection locked="0"/>
    </xf>
    <xf numFmtId="0" fontId="33" fillId="11" borderId="25" xfId="0" quotePrefix="1" applyNumberFormat="1" applyFont="1" applyFill="1" applyBorder="1" applyAlignment="1" applyProtection="1">
      <alignment horizontal="center"/>
    </xf>
    <xf numFmtId="0" fontId="33" fillId="11" borderId="15" xfId="0" quotePrefix="1" applyNumberFormat="1" applyFont="1" applyFill="1" applyBorder="1" applyAlignment="1" applyProtection="1">
      <alignment horizontal="center"/>
    </xf>
    <xf numFmtId="0" fontId="33" fillId="11" borderId="37" xfId="0" quotePrefix="1" applyNumberFormat="1" applyFont="1" applyFill="1" applyBorder="1" applyAlignment="1" applyProtection="1">
      <alignment horizontal="center"/>
    </xf>
    <xf numFmtId="0" fontId="24" fillId="2" borderId="0" xfId="0" applyFont="1" applyFill="1" applyBorder="1" applyAlignment="1" applyProtection="1">
      <alignment vertical="top" wrapText="1"/>
    </xf>
    <xf numFmtId="0" fontId="61" fillId="0" borderId="0" xfId="0" applyFont="1" applyAlignment="1" applyProtection="1">
      <alignment wrapText="1"/>
    </xf>
    <xf numFmtId="0" fontId="61" fillId="0" borderId="7" xfId="0" applyFont="1" applyBorder="1" applyAlignment="1" applyProtection="1">
      <alignment wrapText="1"/>
    </xf>
    <xf numFmtId="0" fontId="84" fillId="7" borderId="25" xfId="0" applyFont="1" applyFill="1" applyBorder="1" applyAlignment="1" applyProtection="1">
      <alignment horizontal="left" vertical="center"/>
    </xf>
    <xf numFmtId="0" fontId="35" fillId="7" borderId="15" xfId="0" applyFont="1" applyFill="1" applyBorder="1" applyAlignment="1" applyProtection="1">
      <alignment horizontal="left" vertical="center"/>
    </xf>
    <xf numFmtId="0" fontId="35" fillId="7" borderId="22" xfId="0" applyFont="1" applyFill="1" applyBorder="1" applyAlignment="1" applyProtection="1">
      <alignment horizontal="left" vertical="center"/>
    </xf>
    <xf numFmtId="0" fontId="94" fillId="7" borderId="28" xfId="0" applyFont="1" applyFill="1" applyBorder="1" applyAlignment="1" applyProtection="1">
      <alignment horizontal="left" vertical="center"/>
    </xf>
    <xf numFmtId="0" fontId="99" fillId="10" borderId="36" xfId="0" applyNumberFormat="1" applyFont="1" applyFill="1" applyBorder="1" applyAlignment="1" applyProtection="1">
      <protection locked="0"/>
    </xf>
    <xf numFmtId="0" fontId="29" fillId="4" borderId="0" xfId="0" applyNumberFormat="1" applyFont="1" applyFill="1" applyBorder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52" fillId="0" borderId="4" xfId="0" applyFont="1" applyBorder="1" applyAlignment="1" applyProtection="1">
      <alignment horizontal="center"/>
    </xf>
    <xf numFmtId="0" fontId="52" fillId="0" borderId="0" xfId="0" applyFont="1" applyBorder="1" applyAlignment="1" applyProtection="1">
      <alignment horizontal="center"/>
    </xf>
    <xf numFmtId="0" fontId="52" fillId="0" borderId="13" xfId="0" applyFont="1" applyBorder="1" applyAlignment="1" applyProtection="1">
      <alignment horizontal="center"/>
    </xf>
    <xf numFmtId="0" fontId="55" fillId="0" borderId="25" xfId="0" applyFont="1" applyFill="1" applyBorder="1" applyAlignment="1" applyProtection="1">
      <alignment horizontal="left"/>
    </xf>
    <xf numFmtId="0" fontId="55" fillId="0" borderId="15" xfId="0" applyFont="1" applyFill="1" applyBorder="1" applyAlignment="1" applyProtection="1">
      <alignment horizontal="left"/>
    </xf>
    <xf numFmtId="0" fontId="55" fillId="0" borderId="22" xfId="0" applyFont="1" applyFill="1" applyBorder="1" applyAlignment="1" applyProtection="1">
      <alignment horizontal="left"/>
    </xf>
    <xf numFmtId="0" fontId="24" fillId="0" borderId="11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left"/>
    </xf>
    <xf numFmtId="0" fontId="24" fillId="0" borderId="13" xfId="0" applyFont="1" applyFill="1" applyBorder="1" applyAlignment="1" applyProtection="1">
      <alignment horizontal="left"/>
    </xf>
    <xf numFmtId="0" fontId="24" fillId="0" borderId="28" xfId="0" applyFont="1" applyFill="1" applyBorder="1" applyAlignment="1" applyProtection="1">
      <alignment horizontal="left"/>
    </xf>
    <xf numFmtId="0" fontId="24" fillId="0" borderId="29" xfId="0" applyFont="1" applyFill="1" applyBorder="1" applyAlignment="1" applyProtection="1">
      <alignment horizontal="left"/>
    </xf>
    <xf numFmtId="0" fontId="24" fillId="0" borderId="42" xfId="0" applyFont="1" applyFill="1" applyBorder="1" applyAlignment="1" applyProtection="1">
      <alignment horizontal="left"/>
    </xf>
    <xf numFmtId="168" fontId="20" fillId="0" borderId="0" xfId="0" applyNumberFormat="1" applyFont="1" applyBorder="1" applyAlignment="1" applyProtection="1">
      <alignment horizontal="left"/>
    </xf>
    <xf numFmtId="0" fontId="12" fillId="0" borderId="0" xfId="0" applyFont="1" applyAlignment="1" applyProtection="1"/>
    <xf numFmtId="0" fontId="77" fillId="0" borderId="0" xfId="0" applyFont="1" applyBorder="1" applyAlignment="1" applyProtection="1">
      <alignment horizontal="left" shrinkToFit="1"/>
    </xf>
    <xf numFmtId="0" fontId="12" fillId="0" borderId="0" xfId="0" applyFont="1" applyAlignment="1" applyProtection="1">
      <alignment shrinkToFit="1"/>
    </xf>
    <xf numFmtId="0" fontId="74" fillId="11" borderId="25" xfId="0" applyNumberFormat="1" applyFont="1" applyFill="1" applyBorder="1" applyAlignment="1" applyProtection="1">
      <alignment horizontal="center"/>
    </xf>
    <xf numFmtId="0" fontId="74" fillId="11" borderId="15" xfId="0" applyNumberFormat="1" applyFont="1" applyFill="1" applyBorder="1" applyAlignment="1" applyProtection="1">
      <alignment horizontal="center"/>
    </xf>
    <xf numFmtId="0" fontId="74" fillId="11" borderId="37" xfId="0" applyNumberFormat="1" applyFont="1" applyFill="1" applyBorder="1" applyAlignment="1" applyProtection="1">
      <alignment horizontal="center"/>
    </xf>
    <xf numFmtId="0" fontId="83" fillId="13" borderId="0" xfId="0" applyNumberFormat="1" applyFont="1" applyFill="1" applyBorder="1" applyAlignment="1" applyProtection="1">
      <alignment horizontal="center"/>
    </xf>
    <xf numFmtId="0" fontId="83" fillId="13" borderId="5" xfId="0" applyNumberFormat="1" applyFont="1" applyFill="1" applyBorder="1" applyAlignment="1" applyProtection="1">
      <alignment horizontal="center"/>
    </xf>
    <xf numFmtId="0" fontId="57" fillId="13" borderId="0" xfId="0" applyNumberFormat="1" applyFont="1" applyFill="1" applyBorder="1" applyAlignment="1" applyProtection="1">
      <alignment horizontal="center"/>
    </xf>
    <xf numFmtId="0" fontId="57" fillId="13" borderId="5" xfId="0" applyNumberFormat="1" applyFont="1" applyFill="1" applyBorder="1" applyAlignment="1" applyProtection="1">
      <alignment horizontal="center"/>
    </xf>
    <xf numFmtId="1" fontId="57" fillId="13" borderId="0" xfId="0" applyNumberFormat="1" applyFont="1" applyFill="1" applyBorder="1" applyAlignment="1" applyProtection="1">
      <alignment horizontal="center"/>
    </xf>
    <xf numFmtId="1" fontId="57" fillId="13" borderId="5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109762395319243E-2"/>
          <c:y val="2.3962349533894471E-2"/>
          <c:w val="0.89535990995580261"/>
          <c:h val="0.87117903930131002"/>
        </c:manualLayout>
      </c:layout>
      <c:scatterChart>
        <c:scatterStyle val="lineMarker"/>
        <c:varyColors val="0"/>
        <c:ser>
          <c:idx val="0"/>
          <c:order val="0"/>
          <c:tx>
            <c:strRef>
              <c:f>'Pilot Operated PRV'!$Q$78</c:f>
              <c:strCache>
                <c:ptCount val="1"/>
                <c:pt idx="0">
                  <c:v>0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'Pilot Operated PRV'!$P$79:$P$178</c:f>
              <c:numCache>
                <c:formatCode>0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'Pilot Operated PRV'!$Q$79:$Q$178</c:f>
              <c:numCache>
                <c:formatCode>0</c:formatCode>
                <c:ptCount val="100"/>
                <c:pt idx="0">
                  <c:v>3.1720471122099996</c:v>
                </c:pt>
                <c:pt idx="1">
                  <c:v>6.1201000387200004</c:v>
                </c:pt>
                <c:pt idx="2">
                  <c:v>8.8585881030299998</c:v>
                </c:pt>
                <c:pt idx="3">
                  <c:v>11.401365207040003</c:v>
                </c:pt>
                <c:pt idx="4">
                  <c:v>13.761720656250001</c:v>
                </c:pt>
                <c:pt idx="5">
                  <c:v>15.952389984959996</c:v>
                </c:pt>
                <c:pt idx="6">
                  <c:v>17.985565781470005</c:v>
                </c:pt>
                <c:pt idx="7">
                  <c:v>19.872908513279999</c:v>
                </c:pt>
                <c:pt idx="8">
                  <c:v>21.625557352289999</c:v>
                </c:pt>
                <c:pt idx="9">
                  <c:v>23.254141000000001</c:v>
                </c:pt>
                <c:pt idx="10">
                  <c:v>24.768788512709996</c:v>
                </c:pt>
                <c:pt idx="11">
                  <c:v>26.179140126719997</c:v>
                </c:pt>
                <c:pt idx="12">
                  <c:v>27.494358083530003</c:v>
                </c:pt>
                <c:pt idx="13">
                  <c:v>28.723137455040003</c:v>
                </c:pt>
                <c:pt idx="14">
                  <c:v>29.873716968750003</c:v>
                </c:pt>
                <c:pt idx="15">
                  <c:v>30.953889832959998</c:v>
                </c:pt>
                <c:pt idx="16">
                  <c:v>31.971014561969991</c:v>
                </c:pt>
                <c:pt idx="17">
                  <c:v>32.932025801279998</c:v>
                </c:pt>
                <c:pt idx="18">
                  <c:v>33.843445152790011</c:v>
                </c:pt>
                <c:pt idx="19">
                  <c:v>34.711391999999989</c:v>
                </c:pt>
                <c:pt idx="20">
                  <c:v>35.541594333210007</c:v>
                </c:pt>
                <c:pt idx="21">
                  <c:v>36.339399574719991</c:v>
                </c:pt>
                <c:pt idx="22">
                  <c:v>37.109785404029999</c:v>
                </c:pt>
                <c:pt idx="23">
                  <c:v>37.857370583039994</c:v>
                </c:pt>
                <c:pt idx="24">
                  <c:v>38.58642578125</c:v>
                </c:pt>
                <c:pt idx="25">
                  <c:v>39.300884400960001</c:v>
                </c:pt>
                <c:pt idx="26">
                  <c:v>40.004353402469995</c:v>
                </c:pt>
                <c:pt idx="27">
                  <c:v>40.700124129280006</c:v>
                </c:pt>
                <c:pt idx="28">
                  <c:v>41.391183133289985</c:v>
                </c:pt>
                <c:pt idx="29">
                  <c:v>42.080222999999997</c:v>
                </c:pt>
                <c:pt idx="30">
                  <c:v>42.769653173709976</c:v>
                </c:pt>
                <c:pt idx="31">
                  <c:v>43.461610782720008</c:v>
                </c:pt>
                <c:pt idx="32">
                  <c:v>44.15797146453</c:v>
                </c:pt>
                <c:pt idx="33">
                  <c:v>44.860360191039995</c:v>
                </c:pt>
                <c:pt idx="34">
                  <c:v>45.57016209375</c:v>
                </c:pt>
                <c:pt idx="35">
                  <c:v>46.288533288959989</c:v>
                </c:pt>
                <c:pt idx="36">
                  <c:v>47.016411702969982</c:v>
                </c:pt>
                <c:pt idx="37">
                  <c:v>47.75452789728002</c:v>
                </c:pt>
                <c:pt idx="38">
                  <c:v>48.503415893789956</c:v>
                </c:pt>
                <c:pt idx="39">
                  <c:v>49.263423999999965</c:v>
                </c:pt>
                <c:pt idx="40">
                  <c:v>50.034725634209984</c:v>
                </c:pt>
                <c:pt idx="41">
                  <c:v>50.817330150720018</c:v>
                </c:pt>
                <c:pt idx="42">
                  <c:v>51.611093665030026</c:v>
                </c:pt>
                <c:pt idx="43">
                  <c:v>52.415729879039972</c:v>
                </c:pt>
                <c:pt idx="44">
                  <c:v>53.230820906249946</c:v>
                </c:pt>
                <c:pt idx="45">
                  <c:v>54.055828096959992</c:v>
                </c:pt>
                <c:pt idx="46">
                  <c:v>54.890102863470005</c:v>
                </c:pt>
                <c:pt idx="47">
                  <c:v>55.732897505279986</c:v>
                </c:pt>
                <c:pt idx="48">
                  <c:v>56.583376034289969</c:v>
                </c:pt>
                <c:pt idx="49">
                  <c:v>57.440624999999976</c:v>
                </c:pt>
                <c:pt idx="50">
                  <c:v>58.303664314709955</c:v>
                </c:pt>
                <c:pt idx="51">
                  <c:v>59.171458078719944</c:v>
                </c:pt>
                <c:pt idx="52">
                  <c:v>60.042925405529971</c:v>
                </c:pt>
                <c:pt idx="53">
                  <c:v>60.916951247039997</c:v>
                </c:pt>
                <c:pt idx="54">
                  <c:v>61.792397218750018</c:v>
                </c:pt>
                <c:pt idx="55">
                  <c:v>62.66811242496</c:v>
                </c:pt>
                <c:pt idx="56">
                  <c:v>63.54294428396998</c:v>
                </c:pt>
                <c:pt idx="57">
                  <c:v>64.415749353279921</c:v>
                </c:pt>
                <c:pt idx="58">
                  <c:v>65.285404154789973</c:v>
                </c:pt>
                <c:pt idx="59">
                  <c:v>66.150815999999963</c:v>
                </c:pt>
                <c:pt idx="60">
                  <c:v>67.010933815210009</c:v>
                </c:pt>
                <c:pt idx="61">
                  <c:v>67.864758966719847</c:v>
                </c:pt>
                <c:pt idx="62">
                  <c:v>68.711356086029909</c:v>
                </c:pt>
                <c:pt idx="63">
                  <c:v>69.54986389504009</c:v>
                </c:pt>
                <c:pt idx="64">
                  <c:v>70.379506031250031</c:v>
                </c:pt>
                <c:pt idx="65">
                  <c:v>71.199601872959903</c:v>
                </c:pt>
                <c:pt idx="66">
                  <c:v>72.009577364469976</c:v>
                </c:pt>
                <c:pt idx="67">
                  <c:v>72.808975841280102</c:v>
                </c:pt>
                <c:pt idx="68">
                  <c:v>73.597468855289932</c:v>
                </c:pt>
                <c:pt idx="69">
                  <c:v>74.374867000000023</c:v>
                </c:pt>
                <c:pt idx="70">
                  <c:v>75.141130735709851</c:v>
                </c:pt>
                <c:pt idx="71">
                  <c:v>75.89638121471998</c:v>
                </c:pt>
                <c:pt idx="72">
                  <c:v>76.640911106529956</c:v>
                </c:pt>
                <c:pt idx="73">
                  <c:v>77.375195423039855</c:v>
                </c:pt>
                <c:pt idx="74">
                  <c:v>78.099902343749861</c:v>
                </c:pt>
                <c:pt idx="75">
                  <c:v>78.815904040960135</c:v>
                </c:pt>
                <c:pt idx="76">
                  <c:v>79.524287504970033</c:v>
                </c:pt>
                <c:pt idx="77">
                  <c:v>80.226365369279719</c:v>
                </c:pt>
                <c:pt idx="78">
                  <c:v>80.923686735789687</c:v>
                </c:pt>
                <c:pt idx="79">
                  <c:v>81.61804799999976</c:v>
                </c:pt>
                <c:pt idx="80">
                  <c:v>82.311503676210052</c:v>
                </c:pt>
                <c:pt idx="81">
                  <c:v>83.006377222719905</c:v>
                </c:pt>
                <c:pt idx="82">
                  <c:v>83.705271867029879</c:v>
                </c:pt>
                <c:pt idx="83">
                  <c:v>84.411081431040103</c:v>
                </c:pt>
                <c:pt idx="84">
                  <c:v>85.127001156249975</c:v>
                </c:pt>
                <c:pt idx="85">
                  <c:v>85.856538528960158</c:v>
                </c:pt>
                <c:pt idx="86">
                  <c:v>86.603524105469802</c:v>
                </c:pt>
                <c:pt idx="87">
                  <c:v>87.372122337279905</c:v>
                </c:pt>
                <c:pt idx="88">
                  <c:v>88.166842396290065</c:v>
                </c:pt>
                <c:pt idx="89">
                  <c:v>88.992548999999684</c:v>
                </c:pt>
                <c:pt idx="90">
                  <c:v>89.854473236709964</c:v>
                </c:pt>
                <c:pt idx="91">
                  <c:v>90.758223390719991</c:v>
                </c:pt>
                <c:pt idx="92">
                  <c:v>91.709795767529911</c:v>
                </c:pt>
                <c:pt idx="93">
                  <c:v>92.715585519039763</c:v>
                </c:pt>
                <c:pt idx="94">
                  <c:v>93.782397468749679</c:v>
                </c:pt>
                <c:pt idx="95">
                  <c:v>94.91745693695988</c:v>
                </c:pt>
                <c:pt idx="96">
                  <c:v>96.128420565969819</c:v>
                </c:pt>
                <c:pt idx="97">
                  <c:v>97.423387145279605</c:v>
                </c:pt>
                <c:pt idx="98">
                  <c:v>98.810908436789546</c:v>
                </c:pt>
                <c:pt idx="99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9D-4D86-A122-E46E75C210DA}"/>
            </c:ext>
          </c:extLst>
        </c:ser>
        <c:ser>
          <c:idx val="1"/>
          <c:order val="1"/>
          <c:tx>
            <c:strRef>
              <c:f>'Pilot Operated PRV'!$R$78</c:f>
              <c:strCache>
                <c:ptCount val="1"/>
                <c:pt idx="0">
                  <c:v>0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0070C0"/>
              </a:solidFill>
              <a:ln w="6350">
                <a:noFill/>
              </a:ln>
            </c:spPr>
          </c:marker>
          <c:xVal>
            <c:numRef>
              <c:f>'Pilot Operated PRV'!$P$79:$P$178</c:f>
              <c:numCache>
                <c:formatCode>0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'Pilot Operated PRV'!$R$79:$R$178</c:f>
              <c:numCache>
                <c:formatCode>0</c:formatCode>
                <c:ptCount val="100"/>
                <c:pt idx="0">
                  <c:v>3.1720471122099996</c:v>
                </c:pt>
                <c:pt idx="1">
                  <c:v>6.1201000387200004</c:v>
                </c:pt>
                <c:pt idx="2">
                  <c:v>8.8585881030299998</c:v>
                </c:pt>
                <c:pt idx="3">
                  <c:v>11.401365207040003</c:v>
                </c:pt>
                <c:pt idx="4">
                  <c:v>13.761720656250001</c:v>
                </c:pt>
                <c:pt idx="5">
                  <c:v>15.952389984959996</c:v>
                </c:pt>
                <c:pt idx="6">
                  <c:v>17.985565781470005</c:v>
                </c:pt>
                <c:pt idx="7">
                  <c:v>19.872908513279999</c:v>
                </c:pt>
                <c:pt idx="8">
                  <c:v>21.625557352289999</c:v>
                </c:pt>
                <c:pt idx="9">
                  <c:v>23.254141000000001</c:v>
                </c:pt>
                <c:pt idx="10">
                  <c:v>24.768788512709996</c:v>
                </c:pt>
                <c:pt idx="11">
                  <c:v>26.179140126719997</c:v>
                </c:pt>
                <c:pt idx="12">
                  <c:v>27.494358083530003</c:v>
                </c:pt>
                <c:pt idx="13">
                  <c:v>28.723137455040003</c:v>
                </c:pt>
                <c:pt idx="14">
                  <c:v>29.873716968750003</c:v>
                </c:pt>
                <c:pt idx="15">
                  <c:v>30.953889832959998</c:v>
                </c:pt>
                <c:pt idx="16">
                  <c:v>31.971014561969991</c:v>
                </c:pt>
                <c:pt idx="17">
                  <c:v>32.932025801279998</c:v>
                </c:pt>
                <c:pt idx="18">
                  <c:v>33.843445152790011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9D-4D86-A122-E46E75C210DA}"/>
            </c:ext>
          </c:extLst>
        </c:ser>
        <c:ser>
          <c:idx val="2"/>
          <c:order val="2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'Pilot Operated PRV'!$P$79:$P$178</c:f>
              <c:numCache>
                <c:formatCode>0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'Pilot Operated PRV'!$S$79:$S$178</c:f>
              <c:numCache>
                <c:formatCode>General</c:formatCode>
                <c:ptCount val="10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B9D-4D86-A122-E46E75C21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448944"/>
        <c:axId val="345452864"/>
      </c:scatterChart>
      <c:valAx>
        <c:axId val="345448944"/>
        <c:scaling>
          <c:orientation val="minMax"/>
          <c:max val="100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NewCenturySchlbk"/>
                <a:ea typeface="NewCenturySchlbk"/>
                <a:cs typeface="NewCenturySchlbk"/>
              </a:defRPr>
            </a:pPr>
            <a:endParaRPr lang="en-US"/>
          </a:p>
        </c:txPr>
        <c:crossAx val="345452864"/>
        <c:crosses val="autoZero"/>
        <c:crossBetween val="midCat"/>
        <c:majorUnit val="10"/>
      </c:valAx>
      <c:valAx>
        <c:axId val="345452864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NewCenturySchlbk"/>
                <a:ea typeface="NewCenturySchlbk"/>
                <a:cs typeface="NewCenturySchlbk"/>
              </a:defRPr>
            </a:pPr>
            <a:endParaRPr lang="en-US"/>
          </a:p>
        </c:txPr>
        <c:crossAx val="34544894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952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S Sans Serif"/>
          <a:ea typeface="MS Sans Serif"/>
          <a:cs typeface="MS Sans Serif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" r="0.75" t="1" header="0.4921259845" footer="0.4921259845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cla-val.co.uk/wp-content/uploads/2020/10/AQUA-PRV-SC-Datasheet.pdf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la-val.co.uk/wp-content/uploads/2019/04/B90-01-Marketing-sheet.pdf" TargetMode="Externa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114935</xdr:colOff>
      <xdr:row>0</xdr:row>
      <xdr:rowOff>28577</xdr:rowOff>
    </xdr:from>
    <xdr:to>
      <xdr:col>7</xdr:col>
      <xdr:colOff>838200</xdr:colOff>
      <xdr:row>1</xdr:row>
      <xdr:rowOff>355830</xdr:rowOff>
    </xdr:to>
    <xdr:pic>
      <xdr:nvPicPr>
        <xdr:cNvPr id="1125" name="Picture 55">
          <a:extLst>
            <a:ext uri="{FF2B5EF4-FFF2-40B4-BE49-F238E27FC236}">
              <a16:creationId xmlns:a16="http://schemas.microsoft.com/office/drawing/2014/main" id="{EDFB4B41-8604-4E12-85A7-77973398F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6360" y="28577"/>
          <a:ext cx="723265" cy="77492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pic>
    <xdr:clientData fLocksWithSheet="0"/>
  </xdr:twoCellAnchor>
  <xdr:twoCellAnchor editAs="oneCell">
    <xdr:from>
      <xdr:col>4</xdr:col>
      <xdr:colOff>527593</xdr:colOff>
      <xdr:row>4</xdr:row>
      <xdr:rowOff>104774</xdr:rowOff>
    </xdr:from>
    <xdr:to>
      <xdr:col>7</xdr:col>
      <xdr:colOff>212558</xdr:colOff>
      <xdr:row>14</xdr:row>
      <xdr:rowOff>210079</xdr:rowOff>
    </xdr:to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D7C1E0-6FB8-4271-88B7-E3F66828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61543" y="1438274"/>
          <a:ext cx="2228140" cy="20103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86</xdr:col>
      <xdr:colOff>19050</xdr:colOff>
      <xdr:row>239</xdr:row>
      <xdr:rowOff>28575</xdr:rowOff>
    </xdr:from>
    <xdr:to>
      <xdr:col>87</xdr:col>
      <xdr:colOff>47626</xdr:colOff>
      <xdr:row>241</xdr:row>
      <xdr:rowOff>126306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446470D2-F48D-46DA-9459-5326D16B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60525" y="42443400"/>
          <a:ext cx="676275" cy="669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343535</xdr:colOff>
      <xdr:row>0</xdr:row>
      <xdr:rowOff>38101</xdr:rowOff>
    </xdr:from>
    <xdr:to>
      <xdr:col>12</xdr:col>
      <xdr:colOff>3173</xdr:colOff>
      <xdr:row>1</xdr:row>
      <xdr:rowOff>409575</xdr:rowOff>
    </xdr:to>
    <xdr:pic>
      <xdr:nvPicPr>
        <xdr:cNvPr id="4" name="Picture 55">
          <a:extLst>
            <a:ext uri="{FF2B5EF4-FFF2-40B4-BE49-F238E27FC236}">
              <a16:creationId xmlns:a16="http://schemas.microsoft.com/office/drawing/2014/main" id="{0B8B301E-DA09-44B5-A18E-C892CB4F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9385" y="38101"/>
          <a:ext cx="764538" cy="81914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pic>
    <xdr:clientData fLocksWithSheet="0"/>
  </xdr:twoCellAnchor>
  <xdr:twoCellAnchor>
    <xdr:from>
      <xdr:col>86</xdr:col>
      <xdr:colOff>12700</xdr:colOff>
      <xdr:row>265</xdr:row>
      <xdr:rowOff>66676</xdr:rowOff>
    </xdr:from>
    <xdr:to>
      <xdr:col>92</xdr:col>
      <xdr:colOff>0</xdr:colOff>
      <xdr:row>278</xdr:row>
      <xdr:rowOff>0</xdr:rowOff>
    </xdr:to>
    <xdr:graphicFrame macro="">
      <xdr:nvGraphicFramePr>
        <xdr:cNvPr id="8" name="Chart 12">
          <a:extLst>
            <a:ext uri="{FF2B5EF4-FFF2-40B4-BE49-F238E27FC236}">
              <a16:creationId xmlns:a16="http://schemas.microsoft.com/office/drawing/2014/main" id="{F50C2ADA-36B4-4555-8A18-9461D504A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355041</xdr:colOff>
      <xdr:row>7</xdr:row>
      <xdr:rowOff>55378</xdr:rowOff>
    </xdr:from>
    <xdr:to>
      <xdr:col>11</xdr:col>
      <xdr:colOff>719913</xdr:colOff>
      <xdr:row>22</xdr:row>
      <xdr:rowOff>221511</xdr:rowOff>
    </xdr:to>
    <xdr:pic>
      <xdr:nvPicPr>
        <xdr:cNvPr id="9" name="Pictur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D581AC-849E-4F8C-93F2-B44118DEA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b="1634"/>
        <a:stretch/>
      </xdr:blipFill>
      <xdr:spPr>
        <a:xfrm>
          <a:off x="5571640" y="1816395"/>
          <a:ext cx="3853681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0.80544</cdr:x>
      <cdr:y>0.76168</cdr:y>
    </cdr:from>
    <cdr:to>
      <cdr:x>0.93199</cdr:x>
      <cdr:y>0.85328</cdr:y>
    </cdr:to>
    <cdr:sp macro="" textlink="">
      <cdr:nvSpPr>
        <cdr:cNvPr id="18433" name="Texte 1">
          <a:extLst xmlns:a="http://schemas.openxmlformats.org/drawingml/2006/main">
            <a:ext uri="{FF2B5EF4-FFF2-40B4-BE49-F238E27FC236}">
              <a16:creationId xmlns:a16="http://schemas.microsoft.com/office/drawing/2014/main" id="{E9A80DAA-3B5A-47D0-84C2-E20466B260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67125" y="1552575"/>
          <a:ext cx="576179" cy="1867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0000" mc:Ignorable="a14" a14:legacySpreadsheetColorIndex="10"/>
        </a:solidFill>
        <a:ln xmlns:a="http://schemas.openxmlformats.org/drawingml/2006/main"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cdr:spPr>
      <cdr:txBody>
        <a:bodyPr xmlns:a="http://schemas.openxmlformats.org/drawingml/2006/main" wrap="none" lIns="18288" tIns="22860" rIns="18288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1" i="0" u="none" strike="noStrike" baseline="0">
              <a:solidFill>
                <a:srgbClr val="FFFFFF"/>
              </a:solidFill>
              <a:latin typeface="NewCenturySchlbk"/>
            </a:rPr>
            <a:t> Cv in %</a:t>
          </a:r>
        </a:p>
      </cdr:txBody>
    </cdr:sp>
  </cdr:relSizeAnchor>
  <cdr:relSizeAnchor xmlns:cdr="http://schemas.openxmlformats.org/drawingml/2006/chartDrawing">
    <cdr:from>
      <cdr:x>0.0974</cdr:x>
      <cdr:y>0.07009</cdr:y>
    </cdr:from>
    <cdr:to>
      <cdr:x>0.29289</cdr:x>
      <cdr:y>0.15058</cdr:y>
    </cdr:to>
    <cdr:sp macro="" textlink="">
      <cdr:nvSpPr>
        <cdr:cNvPr id="18434" name="Texte 2">
          <a:extLst xmlns:a="http://schemas.openxmlformats.org/drawingml/2006/main">
            <a:ext uri="{FF2B5EF4-FFF2-40B4-BE49-F238E27FC236}">
              <a16:creationId xmlns:a16="http://schemas.microsoft.com/office/drawing/2014/main" id="{1595DB8D-7B99-42B3-A71C-D1212B92EA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456" y="142874"/>
          <a:ext cx="890043" cy="16406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0000" mc:Ignorable="a14" a14:legacySpreadsheetColorIndex="10"/>
        </a:solidFill>
        <a:ln xmlns:a="http://schemas.openxmlformats.org/drawingml/2006/main"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cdr:spPr>
      <cdr:txBody>
        <a:bodyPr xmlns:a="http://schemas.openxmlformats.org/drawingml/2006/main" wrap="none" lIns="18288" tIns="22860" rIns="18288" bIns="2286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1" i="0" u="none" strike="noStrike" baseline="0">
              <a:solidFill>
                <a:srgbClr val="FFFFFF"/>
              </a:solidFill>
              <a:latin typeface="NewCenturySchlbk"/>
            </a:rPr>
            <a:t>Valve % Open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/>
  </sheetPr>
  <dimension ref="B1:AJ31"/>
  <sheetViews>
    <sheetView showGridLines="0" showRowColHeaders="0" tabSelected="1" workbookViewId="0">
      <selection activeCell="C4" sqref="C4:D4"/>
    </sheetView>
  </sheetViews>
  <sheetFormatPr defaultColWidth="11.42578125" defaultRowHeight="12.75"/>
  <cols>
    <col min="1" max="1" width="1.140625" style="1" customWidth="1"/>
    <col min="2" max="2" width="47.42578125" style="2" customWidth="1"/>
    <col min="3" max="3" width="12.7109375" style="2" customWidth="1"/>
    <col min="4" max="4" width="14.42578125" style="2" customWidth="1"/>
    <col min="5" max="8" width="12.7109375" style="2" customWidth="1"/>
    <col min="9" max="9" width="3.85546875" style="2" customWidth="1"/>
    <col min="10" max="10" width="17.85546875" style="2" customWidth="1"/>
    <col min="11" max="11" width="12" style="94" customWidth="1"/>
    <col min="12" max="12" width="8.85546875" style="2" customWidth="1"/>
    <col min="13" max="13" width="5.7109375" style="4" customWidth="1"/>
    <col min="14" max="14" width="9.140625" style="4" customWidth="1"/>
    <col min="15" max="16" width="5.7109375" style="4" customWidth="1"/>
    <col min="17" max="17" width="9.42578125" style="4" customWidth="1"/>
    <col min="18" max="18" width="10.140625" style="4" customWidth="1"/>
    <col min="19" max="19" width="8.28515625" style="4" customWidth="1"/>
    <col min="20" max="20" width="8.7109375" style="4" customWidth="1"/>
    <col min="21" max="21" width="7.140625" style="4" customWidth="1"/>
    <col min="22" max="22" width="11.42578125" style="4" customWidth="1"/>
    <col min="23" max="23" width="14.140625" style="10" customWidth="1"/>
    <col min="24" max="24" width="36.5703125" style="9" customWidth="1"/>
    <col min="25" max="25" width="11.42578125" style="4" customWidth="1"/>
    <col min="26" max="26" width="11.42578125" style="9" customWidth="1"/>
    <col min="27" max="36" width="11.42578125" style="4" customWidth="1"/>
    <col min="37" max="81" width="11.42578125" style="1" customWidth="1"/>
    <col min="82" max="82" width="3.7109375" style="1" customWidth="1"/>
    <col min="83" max="83" width="9.7109375" style="1" customWidth="1"/>
    <col min="84" max="84" width="11.7109375" style="1" customWidth="1"/>
    <col min="85" max="85" width="10" style="1" customWidth="1"/>
    <col min="86" max="86" width="11.28515625" style="1" customWidth="1"/>
    <col min="87" max="87" width="11.140625" style="1" customWidth="1"/>
    <col min="88" max="88" width="14.28515625" style="1" customWidth="1"/>
    <col min="89" max="89" width="3.7109375" style="1" customWidth="1"/>
    <col min="90" max="16384" width="11.42578125" style="1"/>
  </cols>
  <sheetData>
    <row r="1" spans="2:36" ht="35.25" customHeight="1">
      <c r="B1" s="267" t="s">
        <v>146</v>
      </c>
      <c r="C1" s="268"/>
      <c r="D1" s="268"/>
      <c r="E1" s="268"/>
      <c r="F1" s="268"/>
      <c r="G1" s="268"/>
      <c r="H1" s="268"/>
    </row>
    <row r="2" spans="2:36" ht="29.25" customHeight="1" thickBot="1">
      <c r="B2" s="269" t="s">
        <v>147</v>
      </c>
      <c r="C2" s="270"/>
      <c r="D2" s="270"/>
      <c r="E2" s="271"/>
      <c r="F2" s="271"/>
      <c r="G2" s="271"/>
      <c r="H2" s="272"/>
      <c r="K2" s="75"/>
    </row>
    <row r="3" spans="2:36" ht="18" customHeight="1">
      <c r="B3" s="290" t="s">
        <v>137</v>
      </c>
      <c r="C3" s="291"/>
      <c r="D3" s="292"/>
      <c r="E3" s="276" t="str">
        <f>IF(D10&lt;0.5,"Minimum outlet pressure must be 0.5 bar",IF((D9/D10)&gt;3,"**Turndown ratio too high - Contact CLA-VAL**",IF((D8-D10&lt;1),"*Minimum 1 bar pressure drop required*"," ")))</f>
        <v xml:space="preserve"> </v>
      </c>
      <c r="F3" s="277"/>
      <c r="G3" s="277"/>
      <c r="H3" s="278"/>
      <c r="K3" s="67"/>
    </row>
    <row r="4" spans="2:36" ht="18" customHeight="1">
      <c r="B4" s="29" t="s">
        <v>102</v>
      </c>
      <c r="C4" s="279" t="s">
        <v>151</v>
      </c>
      <c r="D4" s="280"/>
      <c r="E4" s="273" t="str">
        <f>IF($D$10&gt;15,"*Outlet pressure exceeds this models limit*",IF(D9&gt;40,"*Maximum inlet pressure exceeded*",IF(D8&lt;D10,"*Outlet pressure higher than inlet pressure*",IF(D9&lt;D10,"*Outlet pressure higher that inlet pressure*",IF(D6&gt;=D7,"*Maximum flow is less than minimum flow*",IF($H$20&gt;1.9,"Velocity high - Specify Pilot Operated PRV",IF($D$9&lt;$D$8,"*Max Inlet Pressure higher than Minimum*"," ")))))))</f>
        <v xml:space="preserve"> </v>
      </c>
      <c r="F4" s="274"/>
      <c r="G4" s="274"/>
      <c r="H4" s="275"/>
    </row>
    <row r="5" spans="2:36" ht="16.5" customHeight="1">
      <c r="B5" s="28" t="s">
        <v>116</v>
      </c>
      <c r="C5" s="87"/>
      <c r="D5" s="264">
        <v>1</v>
      </c>
      <c r="E5" s="160"/>
      <c r="F5" s="160"/>
      <c r="G5" s="160"/>
      <c r="H5" s="169"/>
      <c r="I5" s="5"/>
    </row>
    <row r="6" spans="2:36" ht="16.5" customHeight="1">
      <c r="B6" s="28" t="s">
        <v>66</v>
      </c>
      <c r="C6" s="89" t="str">
        <f>IF($D$5=1,"l/s",IF($D$5=2,"M3/h","l/min"))</f>
        <v>l/s</v>
      </c>
      <c r="D6" s="266">
        <v>0</v>
      </c>
      <c r="E6" s="160"/>
      <c r="F6" s="160"/>
      <c r="G6" s="160"/>
      <c r="H6" s="169"/>
      <c r="I6" s="5"/>
      <c r="J6" s="195"/>
    </row>
    <row r="7" spans="2:36" ht="16.5" customHeight="1">
      <c r="B7" s="28" t="s">
        <v>67</v>
      </c>
      <c r="C7" s="89" t="str">
        <f>IF($D$5=1,"l/s",IF($D$5=2,"M3/h","l/min"))</f>
        <v>l/s</v>
      </c>
      <c r="D7" s="266">
        <v>1.5</v>
      </c>
      <c r="E7" s="160"/>
      <c r="F7" s="160"/>
      <c r="G7" s="160"/>
      <c r="H7" s="169"/>
      <c r="I7" s="5"/>
    </row>
    <row r="8" spans="2:36" ht="16.5" customHeight="1">
      <c r="B8" s="28" t="s">
        <v>139</v>
      </c>
      <c r="C8" s="89" t="s">
        <v>124</v>
      </c>
      <c r="D8" s="266">
        <v>6</v>
      </c>
      <c r="E8" s="160"/>
      <c r="F8" s="160"/>
      <c r="G8" s="160"/>
      <c r="H8" s="169"/>
      <c r="I8" s="5"/>
    </row>
    <row r="9" spans="2:36" ht="16.5" customHeight="1">
      <c r="B9" s="28" t="s">
        <v>140</v>
      </c>
      <c r="C9" s="89" t="s">
        <v>124</v>
      </c>
      <c r="D9" s="266">
        <v>6</v>
      </c>
      <c r="E9" s="160"/>
      <c r="F9" s="160"/>
      <c r="G9" s="160"/>
      <c r="H9" s="169"/>
      <c r="I9" s="5"/>
      <c r="J9" s="46"/>
      <c r="L9" s="76"/>
    </row>
    <row r="10" spans="2:36" ht="14.25" customHeight="1">
      <c r="B10" s="28" t="s">
        <v>141</v>
      </c>
      <c r="C10" s="93" t="s">
        <v>124</v>
      </c>
      <c r="D10" s="266">
        <v>3</v>
      </c>
      <c r="E10" s="13"/>
      <c r="F10" s="13"/>
      <c r="G10" s="13"/>
      <c r="H10" s="170"/>
      <c r="I10" s="5"/>
      <c r="J10" s="45"/>
      <c r="K10" s="2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2:36" ht="6.75" hidden="1" customHeight="1">
      <c r="B11" s="27" t="s">
        <v>46</v>
      </c>
      <c r="C11" s="25" t="s">
        <v>1</v>
      </c>
      <c r="D11" s="95">
        <v>0</v>
      </c>
      <c r="E11" s="13"/>
      <c r="F11" s="13"/>
      <c r="G11" s="13"/>
      <c r="H11" s="170"/>
      <c r="I11" s="5"/>
      <c r="J11" s="45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2:36" s="11" customFormat="1" ht="14.25" customHeight="1">
      <c r="B12" s="297" t="s">
        <v>127</v>
      </c>
      <c r="C12" s="298"/>
      <c r="D12" s="299"/>
      <c r="E12" s="26"/>
      <c r="F12" s="12"/>
      <c r="G12" s="12"/>
      <c r="H12" s="170"/>
      <c r="I12" s="14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  <c r="X12" s="18"/>
      <c r="Y12" s="16"/>
      <c r="Z12" s="18"/>
      <c r="AA12" s="16"/>
      <c r="AB12" s="16"/>
      <c r="AC12" s="16"/>
      <c r="AD12" s="16"/>
      <c r="AE12" s="16"/>
      <c r="AF12" s="16"/>
      <c r="AG12" s="16"/>
      <c r="AH12" s="16"/>
      <c r="AI12" s="16"/>
      <c r="AJ12" s="16"/>
    </row>
    <row r="13" spans="2:36" s="11" customFormat="1" ht="20.100000000000001" customHeight="1">
      <c r="B13" s="300"/>
      <c r="C13" s="301"/>
      <c r="D13" s="302"/>
      <c r="E13" s="13"/>
      <c r="F13" s="13"/>
      <c r="G13" s="13"/>
      <c r="H13" s="170"/>
      <c r="I13" s="14"/>
      <c r="J13" s="46"/>
      <c r="K13" s="49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18"/>
      <c r="Y13" s="16"/>
      <c r="Z13" s="18"/>
      <c r="AA13" s="16"/>
      <c r="AB13" s="16"/>
      <c r="AC13" s="16"/>
      <c r="AD13" s="16"/>
      <c r="AE13" s="16"/>
      <c r="AF13" s="16"/>
      <c r="AG13" s="16"/>
      <c r="AH13" s="16"/>
      <c r="AI13" s="16"/>
      <c r="AJ13" s="16"/>
    </row>
    <row r="14" spans="2:36" s="11" customFormat="1" ht="20.100000000000001" customHeight="1">
      <c r="B14" s="303"/>
      <c r="C14" s="304"/>
      <c r="D14" s="305"/>
      <c r="E14" s="13"/>
      <c r="F14" s="13"/>
      <c r="G14" s="13"/>
      <c r="H14" s="170"/>
      <c r="I14" s="14"/>
      <c r="J14" s="48"/>
      <c r="K14" s="49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  <c r="X14" s="18"/>
      <c r="Y14" s="16"/>
      <c r="Z14" s="18"/>
      <c r="AA14" s="16"/>
      <c r="AB14" s="16"/>
      <c r="AC14" s="16"/>
      <c r="AD14" s="16"/>
      <c r="AE14" s="16"/>
      <c r="AF14" s="16"/>
      <c r="AG14" s="16"/>
      <c r="AH14" s="16"/>
      <c r="AI14" s="16"/>
      <c r="AJ14" s="16"/>
    </row>
    <row r="15" spans="2:36" s="11" customFormat="1" ht="20.100000000000001" customHeight="1">
      <c r="B15" s="284" t="s">
        <v>142</v>
      </c>
      <c r="C15" s="285"/>
      <c r="D15" s="286"/>
      <c r="E15" s="13"/>
      <c r="F15" s="13"/>
      <c r="G15" s="13"/>
      <c r="H15" s="170"/>
      <c r="I15" s="14"/>
      <c r="J15" s="48"/>
      <c r="K15" s="49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7"/>
      <c r="X15" s="18"/>
      <c r="Y15" s="16"/>
      <c r="Z15" s="18"/>
      <c r="AA15" s="16"/>
      <c r="AB15" s="16"/>
      <c r="AC15" s="16"/>
      <c r="AD15" s="16"/>
      <c r="AE15" s="16"/>
      <c r="AF15" s="16"/>
      <c r="AG15" s="16"/>
      <c r="AH15" s="16"/>
      <c r="AI15" s="16"/>
      <c r="AJ15" s="16"/>
    </row>
    <row r="16" spans="2:36" s="11" customFormat="1" ht="20.100000000000001" customHeight="1" thickBot="1">
      <c r="B16" s="281" t="s">
        <v>149</v>
      </c>
      <c r="C16" s="282"/>
      <c r="D16" s="283"/>
      <c r="E16" s="287" t="s">
        <v>126</v>
      </c>
      <c r="F16" s="288"/>
      <c r="G16" s="288"/>
      <c r="H16" s="289"/>
      <c r="I16" s="14"/>
      <c r="J16" s="48"/>
      <c r="K16" s="49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7"/>
      <c r="X16" s="18"/>
      <c r="Y16" s="16"/>
      <c r="Z16" s="18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2:36" ht="21" customHeight="1">
      <c r="B17" s="154" t="s">
        <v>115</v>
      </c>
      <c r="C17" s="155" t="s">
        <v>106</v>
      </c>
      <c r="D17" s="155" t="s">
        <v>107</v>
      </c>
      <c r="E17" s="155" t="s">
        <v>108</v>
      </c>
      <c r="F17" s="155" t="s">
        <v>109</v>
      </c>
      <c r="G17" s="155" t="s">
        <v>110</v>
      </c>
      <c r="H17" s="156" t="s">
        <v>111</v>
      </c>
      <c r="I17" s="5"/>
      <c r="L17" s="50"/>
      <c r="M17" s="47"/>
      <c r="N17" s="47"/>
      <c r="V17" s="68"/>
      <c r="W17" s="69"/>
    </row>
    <row r="18" spans="2:36" ht="18.75" customHeight="1">
      <c r="B18" s="157" t="s">
        <v>113</v>
      </c>
      <c r="C18" s="158">
        <v>15</v>
      </c>
      <c r="D18" s="158">
        <v>20</v>
      </c>
      <c r="E18" s="158">
        <v>25</v>
      </c>
      <c r="F18" s="158">
        <v>32</v>
      </c>
      <c r="G18" s="158">
        <v>40</v>
      </c>
      <c r="H18" s="159">
        <v>50</v>
      </c>
      <c r="I18" s="5"/>
      <c r="J18" s="11"/>
      <c r="K18" s="11"/>
      <c r="L18" s="51"/>
      <c r="M18" s="52"/>
      <c r="N18" s="52"/>
      <c r="O18" s="16"/>
      <c r="P18" s="16"/>
      <c r="Q18" s="16"/>
      <c r="R18" s="16"/>
      <c r="S18" s="16"/>
      <c r="T18" s="16"/>
      <c r="U18" s="16"/>
      <c r="V18" s="68"/>
      <c r="W18" s="69"/>
    </row>
    <row r="19" spans="2:36" ht="15.75" customHeight="1">
      <c r="B19" s="161" t="s">
        <v>112</v>
      </c>
      <c r="C19" s="162">
        <v>3</v>
      </c>
      <c r="D19" s="162">
        <v>3.5</v>
      </c>
      <c r="E19" s="162">
        <v>6.7</v>
      </c>
      <c r="F19" s="162">
        <v>7.6</v>
      </c>
      <c r="G19" s="162">
        <v>12.5</v>
      </c>
      <c r="H19" s="163">
        <v>15</v>
      </c>
      <c r="I19" s="5"/>
      <c r="J19" s="11"/>
      <c r="K19" s="11"/>
      <c r="L19" s="51"/>
      <c r="M19" s="52"/>
      <c r="N19" s="52"/>
      <c r="O19" s="16"/>
      <c r="P19" s="16"/>
      <c r="Q19" s="16"/>
      <c r="R19" s="16"/>
      <c r="S19" s="16"/>
      <c r="T19" s="16"/>
      <c r="U19" s="16"/>
      <c r="V19" s="68"/>
      <c r="W19" s="69"/>
    </row>
    <row r="20" spans="2:36" ht="21" customHeight="1">
      <c r="B20" s="161" t="s">
        <v>114</v>
      </c>
      <c r="C20" s="164">
        <f t="shared" ref="C20:H20" si="0">($D$26/1000)/(3.1418*(C$18/2000)^2)</f>
        <v>8.4877034396418196</v>
      </c>
      <c r="D20" s="164">
        <f t="shared" si="0"/>
        <v>4.7743331847985235</v>
      </c>
      <c r="E20" s="164">
        <f t="shared" si="0"/>
        <v>3.0555732382710539</v>
      </c>
      <c r="F20" s="164">
        <f t="shared" si="0"/>
        <v>1.8649739003119232</v>
      </c>
      <c r="G20" s="164">
        <f t="shared" si="0"/>
        <v>1.1935832961996309</v>
      </c>
      <c r="H20" s="165">
        <f t="shared" si="0"/>
        <v>0.76389330956776347</v>
      </c>
      <c r="I20" s="5"/>
      <c r="J20" s="11"/>
      <c r="K20" s="11"/>
      <c r="L20" s="51"/>
      <c r="M20" s="52"/>
      <c r="N20" s="52"/>
      <c r="O20" s="16"/>
      <c r="P20" s="16"/>
      <c r="Q20" s="16"/>
      <c r="R20" s="16"/>
      <c r="S20" s="16"/>
      <c r="T20" s="16"/>
      <c r="U20" s="16"/>
      <c r="V20" s="68"/>
      <c r="W20" s="69"/>
    </row>
    <row r="21" spans="2:36" ht="21" customHeight="1" thickBot="1">
      <c r="B21" s="166" t="s">
        <v>125</v>
      </c>
      <c r="C21" s="167" t="str">
        <f t="shared" ref="C21:G21" si="1">IF(C20&gt;2,"Velocity High","OK")</f>
        <v>Velocity High</v>
      </c>
      <c r="D21" s="167" t="str">
        <f t="shared" si="1"/>
        <v>Velocity High</v>
      </c>
      <c r="E21" s="167" t="str">
        <f t="shared" si="1"/>
        <v>Velocity High</v>
      </c>
      <c r="F21" s="167" t="str">
        <f t="shared" si="1"/>
        <v>OK</v>
      </c>
      <c r="G21" s="167" t="str">
        <f t="shared" si="1"/>
        <v>OK</v>
      </c>
      <c r="H21" s="168" t="str">
        <f>IF(H20&gt;2,"Velocity High","OK")</f>
        <v>OK</v>
      </c>
      <c r="I21" s="5"/>
      <c r="J21" s="11"/>
      <c r="K21" s="11"/>
      <c r="L21" s="51"/>
      <c r="M21" s="52"/>
      <c r="N21" s="52"/>
      <c r="O21" s="16"/>
      <c r="P21" s="16"/>
      <c r="Q21" s="16"/>
      <c r="R21" s="16"/>
      <c r="S21" s="16"/>
      <c r="T21" s="16"/>
      <c r="U21" s="16"/>
      <c r="V21" s="68"/>
      <c r="W21" s="69"/>
    </row>
    <row r="22" spans="2:36" s="11" customFormat="1" ht="17.25" customHeight="1" thickBot="1">
      <c r="G22" s="1"/>
      <c r="H22" s="160"/>
      <c r="I22" s="14"/>
      <c r="J22" s="96"/>
      <c r="L22" s="15"/>
      <c r="M22" s="16"/>
      <c r="N22" s="16"/>
      <c r="R22" s="16"/>
      <c r="S22" s="16"/>
      <c r="T22" s="16"/>
      <c r="U22" s="16"/>
      <c r="V22" s="72"/>
      <c r="W22" s="73"/>
      <c r="X22" s="18"/>
      <c r="Y22" s="16"/>
      <c r="Z22" s="18"/>
      <c r="AA22" s="16"/>
      <c r="AB22" s="16"/>
      <c r="AC22" s="16"/>
      <c r="AD22" s="16"/>
      <c r="AE22" s="16"/>
      <c r="AF22" s="16"/>
      <c r="AG22" s="16"/>
      <c r="AH22" s="16"/>
      <c r="AI22" s="16"/>
      <c r="AJ22" s="16"/>
    </row>
    <row r="23" spans="2:36" ht="21.75" customHeight="1">
      <c r="B23" s="254" t="s">
        <v>118</v>
      </c>
      <c r="C23" s="295" t="str">
        <f>IF(H20&gt;2,"Specify Pilot Operated PRV",IF($D$10&lt;1.9,"AQUA-PRV/SC-LP",IF($D$10&lt;7.8,"AQUA-PRV/SC-SP",IF($D$10&lt;=15,"AQUA-PRV-SC/HP","Contact CLA-VAL"))))</f>
        <v>AQUA-PRV/SC-SP</v>
      </c>
      <c r="D23" s="295"/>
      <c r="E23" s="295"/>
      <c r="F23" s="296"/>
      <c r="G23" s="1"/>
      <c r="H23" s="160"/>
      <c r="I23" s="5"/>
      <c r="J23" s="5"/>
      <c r="K23" s="11"/>
      <c r="N23" s="4" t="s">
        <v>96</v>
      </c>
      <c r="V23" s="68"/>
      <c r="W23" s="69"/>
    </row>
    <row r="24" spans="2:36" s="185" customFormat="1" ht="17.25" customHeight="1" thickBot="1">
      <c r="B24" s="255" t="s">
        <v>117</v>
      </c>
      <c r="C24" s="293" t="str">
        <f>IF(H20&gt;2,"--",IF($D$10&lt;1.8,"0.5 - 2 bar",IF($D$10&lt;7.8,"1 - 8 bar",IF($D$10&gt;15,"Outlet pressure exceeds this models limit","5 - 15 bar"))))</f>
        <v>1 - 8 bar</v>
      </c>
      <c r="D24" s="293"/>
      <c r="E24" s="293"/>
      <c r="F24" s="294"/>
      <c r="I24" s="187"/>
      <c r="J24" s="187"/>
      <c r="K24" s="188"/>
      <c r="L24" s="186"/>
      <c r="V24" s="189"/>
      <c r="W24" s="190"/>
    </row>
    <row r="25" spans="2:36" s="185" customFormat="1" ht="17.25" customHeight="1">
      <c r="B25" s="186" t="s">
        <v>119</v>
      </c>
      <c r="C25" s="186"/>
      <c r="D25" s="186"/>
      <c r="I25" s="187"/>
      <c r="J25" s="186"/>
      <c r="K25" s="191"/>
      <c r="L25" s="192"/>
      <c r="M25" s="189"/>
      <c r="N25" s="189"/>
      <c r="R25" s="189"/>
      <c r="S25" s="189"/>
      <c r="T25" s="189"/>
      <c r="U25" s="189"/>
      <c r="V25" s="189"/>
      <c r="W25" s="190"/>
    </row>
    <row r="26" spans="2:36" s="185" customFormat="1" ht="13.5" customHeight="1">
      <c r="B26" s="186" t="s">
        <v>120</v>
      </c>
      <c r="C26" s="186"/>
      <c r="D26" s="186">
        <f>IF($D$5=1,$D$7,IF($D$5=2,($D$7/3.6),$D$7/60))</f>
        <v>1.5</v>
      </c>
      <c r="E26" s="193"/>
      <c r="F26" s="194"/>
      <c r="G26" s="194"/>
      <c r="H26" s="194"/>
      <c r="I26" s="187"/>
      <c r="J26" s="186"/>
      <c r="K26" s="191"/>
      <c r="L26" s="192"/>
      <c r="M26" s="189"/>
      <c r="N26" s="189"/>
      <c r="R26" s="189"/>
      <c r="S26" s="189"/>
      <c r="T26" s="189"/>
      <c r="U26" s="189"/>
      <c r="V26" s="189"/>
      <c r="W26" s="190"/>
    </row>
    <row r="27" spans="2:36" s="185" customFormat="1" ht="13.5" customHeight="1">
      <c r="B27" s="186" t="s">
        <v>121</v>
      </c>
      <c r="C27" s="186"/>
      <c r="D27" s="186"/>
      <c r="E27" s="193"/>
      <c r="F27" s="194"/>
      <c r="G27" s="194"/>
      <c r="H27" s="194"/>
      <c r="I27" s="187"/>
      <c r="J27" s="186"/>
      <c r="K27" s="191"/>
      <c r="L27" s="192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90"/>
    </row>
    <row r="28" spans="2:36" s="185" customFormat="1" ht="13.5" customHeight="1">
      <c r="B28" s="186"/>
      <c r="C28" s="186"/>
      <c r="D28" s="186"/>
      <c r="E28" s="193"/>
      <c r="F28" s="194"/>
      <c r="G28" s="194"/>
      <c r="H28" s="194"/>
      <c r="I28" s="187"/>
      <c r="J28" s="186"/>
      <c r="K28" s="191"/>
      <c r="L28" s="192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90"/>
    </row>
    <row r="29" spans="2:36" ht="13.5" customHeight="1">
      <c r="E29" s="6"/>
      <c r="F29" s="8"/>
      <c r="G29" s="8"/>
      <c r="H29" s="8"/>
      <c r="I29" s="66"/>
      <c r="K29" s="74"/>
      <c r="L29" s="50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9"/>
    </row>
    <row r="30" spans="2:36" ht="13.5" customHeight="1">
      <c r="I30" s="5"/>
      <c r="K30" s="97"/>
      <c r="N30" s="68"/>
      <c r="O30" s="68"/>
      <c r="P30" s="68"/>
      <c r="Q30" s="68"/>
      <c r="R30" s="68"/>
      <c r="S30" s="68"/>
      <c r="T30" s="68"/>
      <c r="U30" s="68"/>
      <c r="V30" s="68"/>
      <c r="W30" s="69"/>
    </row>
    <row r="31" spans="2:36" ht="13.5" customHeight="1">
      <c r="I31" s="3"/>
      <c r="N31" s="68"/>
      <c r="O31" s="68"/>
      <c r="P31" s="68"/>
      <c r="Q31" s="68"/>
      <c r="R31" s="68"/>
      <c r="S31" s="68"/>
      <c r="T31" s="68"/>
      <c r="U31" s="68"/>
      <c r="V31" s="68"/>
      <c r="W31" s="69"/>
    </row>
  </sheetData>
  <sheetProtection algorithmName="SHA-512" hashValue="EZ3v8QP1wOK9fdCsmdCKYHTItBbjYGjPTRj2lfRQIGpQ0ysD83S9QOXCWxFAfp3zpvZ5Nbg2WjjPGUdDtxjaZg==" saltValue="EWqPZddLitOKUYngv74vvQ==" spinCount="100000" sheet="1" selectLockedCells="1"/>
  <mergeCells count="12">
    <mergeCell ref="B16:D16"/>
    <mergeCell ref="B15:D15"/>
    <mergeCell ref="E16:H16"/>
    <mergeCell ref="B3:D3"/>
    <mergeCell ref="C24:F24"/>
    <mergeCell ref="C23:F23"/>
    <mergeCell ref="B12:D14"/>
    <mergeCell ref="B1:H1"/>
    <mergeCell ref="B2:H2"/>
    <mergeCell ref="E4:H4"/>
    <mergeCell ref="E3:H3"/>
    <mergeCell ref="C4:D4"/>
  </mergeCells>
  <conditionalFormatting sqref="C20:H20">
    <cfRule type="cellIs" dxfId="0" priority="3" operator="greaterThan">
      <formula>2</formula>
    </cfRule>
  </conditionalFormatting>
  <dataValidations xWindow="422" yWindow="490" count="6">
    <dataValidation type="list" allowBlank="1" showInputMessage="1" showErrorMessage="1" errorTitle="Flow unit Error" error="Flow unit must be entered_x000a_1 = Litres per second_x000a_2 = Cubic meters per hour_x000a_3 = Litres per minute" promptTitle="Flow Units" prompt="1 = Litres per second_x000a_2 = Cubic metres per hour_x000a_3 = Litres per minute_x000a_" sqref="D5" xr:uid="{00000000-0002-0000-0000-000002000000}">
      <formula1>"1,2,3"</formula1>
    </dataValidation>
    <dataValidation type="decimal" showInputMessage="1" showErrorMessage="1" errorTitle="Flow range" error="Flow entered is out of range" sqref="D6" xr:uid="{3A505205-E31F-476F-BA8A-2A566C67BEE3}">
      <formula1>0</formula1>
      <formula2>300</formula2>
    </dataValidation>
    <dataValidation type="decimal" showInputMessage="1" showErrorMessage="1" errorTitle="Flow out of range" error="Flow entered is out of range" sqref="D7" xr:uid="{3818AF4C-9803-4B0A-A5FB-14F34595D176}">
      <formula1>0</formula1>
      <formula2>300</formula2>
    </dataValidation>
    <dataValidation type="decimal" showInputMessage="1" showErrorMessage="1" errorTitle="Inlet pressure out of range" error="Minimum 1.5 bar Maximum 40 bar" sqref="D8" xr:uid="{802B9D86-D07C-45FF-AE7D-DAE6C425CA69}">
      <formula1>1.5</formula1>
      <formula2>40</formula2>
    </dataValidation>
    <dataValidation type="decimal" showInputMessage="1" showErrorMessage="1" errorTitle="Inlet pressure of range" error="Minimum 1.5 bar Maximum 40 bar" sqref="D9" xr:uid="{7F2C6CD1-9B80-49B7-BD0D-6350083CF320}">
      <formula1>1.5</formula1>
      <formula2>40</formula2>
    </dataValidation>
    <dataValidation type="decimal" showInputMessage="1" showErrorMessage="1" errorTitle="Outlet pressure out of range" error="Minimum 0.5 bar Maximum 15 bar" sqref="D10" xr:uid="{DCC8D41C-8EF7-47AE-A2C0-57D212E643CD}">
      <formula1>0.5</formula1>
      <formula2>15</formula2>
    </dataValidation>
  </dataValidations>
  <printOptions horizontalCentered="1" verticalCentered="1"/>
  <pageMargins left="0.62" right="0.44" top="0.16" bottom="0.11" header="11.141732283464567" footer="0.27"/>
  <pageSetup paperSize="9" orientation="landscape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BBC2-7320-4FCB-8765-C0EAA1FE48CD}">
  <sheetPr>
    <tabColor rgb="FFFF0000"/>
    <pageSetUpPr autoPageBreaks="0"/>
  </sheetPr>
  <dimension ref="A1:CP644"/>
  <sheetViews>
    <sheetView showGridLines="0" showRowColHeaders="0" zoomScale="86" zoomScaleNormal="86" workbookViewId="0">
      <selection activeCell="C4" sqref="C4:D4"/>
    </sheetView>
  </sheetViews>
  <sheetFormatPr defaultColWidth="11.42578125" defaultRowHeight="12.75"/>
  <cols>
    <col min="1" max="1" width="1.140625" style="1" customWidth="1"/>
    <col min="2" max="2" width="55.42578125" style="2" customWidth="1"/>
    <col min="3" max="3" width="17" style="2" customWidth="1"/>
    <col min="4" max="4" width="16" style="2" customWidth="1"/>
    <col min="5" max="6" width="7.85546875" style="2" customWidth="1"/>
    <col min="7" max="7" width="7.5703125" style="2" customWidth="1"/>
    <col min="8" max="8" width="7" style="2" customWidth="1"/>
    <col min="9" max="9" width="6.140625" style="2" customWidth="1"/>
    <col min="10" max="10" width="9.85546875" style="2" customWidth="1"/>
    <col min="11" max="11" width="6.140625" style="2" customWidth="1"/>
    <col min="12" max="12" width="16.5703125" style="2" customWidth="1"/>
    <col min="13" max="13" width="3.85546875" style="2" customWidth="1"/>
    <col min="14" max="14" width="17.85546875" style="2" customWidth="1"/>
    <col min="15" max="15" width="12" style="94" customWidth="1"/>
    <col min="16" max="16" width="8.85546875" style="2" customWidth="1"/>
    <col min="17" max="17" width="5.7109375" style="4" customWidth="1"/>
    <col min="18" max="18" width="9.140625" style="4" customWidth="1"/>
    <col min="19" max="20" width="5.7109375" style="4" customWidth="1"/>
    <col min="21" max="21" width="9.42578125" style="4" customWidth="1"/>
    <col min="22" max="22" width="10.140625" style="4" customWidth="1"/>
    <col min="23" max="23" width="8.28515625" style="4" customWidth="1"/>
    <col min="24" max="24" width="8.7109375" style="4" customWidth="1"/>
    <col min="25" max="25" width="7.140625" style="4" customWidth="1"/>
    <col min="26" max="26" width="11.42578125" style="4" customWidth="1"/>
    <col min="27" max="27" width="14.140625" style="10" customWidth="1"/>
    <col min="28" max="28" width="36.5703125" style="9" customWidth="1"/>
    <col min="29" max="29" width="11.42578125" style="4" customWidth="1"/>
    <col min="30" max="30" width="11.42578125" style="9" customWidth="1"/>
    <col min="31" max="40" width="11.42578125" style="4" customWidth="1"/>
    <col min="41" max="85" width="11.42578125" style="1" customWidth="1"/>
    <col min="86" max="86" width="3.7109375" style="1" customWidth="1"/>
    <col min="87" max="87" width="9.7109375" style="1" customWidth="1"/>
    <col min="88" max="88" width="11.7109375" style="1" customWidth="1"/>
    <col min="89" max="89" width="10" style="1" customWidth="1"/>
    <col min="90" max="90" width="11.28515625" style="1" customWidth="1"/>
    <col min="91" max="91" width="16.28515625" style="1" customWidth="1"/>
    <col min="92" max="92" width="14.28515625" style="1" customWidth="1"/>
    <col min="93" max="93" width="3.7109375" style="1" customWidth="1"/>
    <col min="94" max="16384" width="11.42578125" style="1"/>
  </cols>
  <sheetData>
    <row r="1" spans="2:40" ht="35.25" customHeight="1">
      <c r="B1" s="312" t="s">
        <v>145</v>
      </c>
      <c r="C1" s="313"/>
      <c r="D1" s="313"/>
      <c r="E1" s="313"/>
      <c r="F1" s="313"/>
      <c r="G1" s="313"/>
      <c r="H1" s="313"/>
      <c r="I1" s="313"/>
      <c r="J1" s="313"/>
      <c r="K1" s="313"/>
      <c r="L1" s="314"/>
    </row>
    <row r="2" spans="2:40" ht="33.75" customHeight="1" thickBot="1">
      <c r="B2" s="315" t="s">
        <v>148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O2" s="75"/>
    </row>
    <row r="3" spans="2:40" ht="18" customHeight="1">
      <c r="B3" s="306" t="s">
        <v>133</v>
      </c>
      <c r="C3" s="307"/>
      <c r="D3" s="308"/>
      <c r="E3" s="277" t="str">
        <f>IF(D11&gt;=D9,"**Outlet pressure greater than inlet pressure ** ",IF(D7&gt;=D8,"** Minimum flow is greater than maximum flow **",IF(D30&gt;2,"Advisory: Velocity &gt; 2m/s - check for noise sensitive areas","")))</f>
        <v/>
      </c>
      <c r="F3" s="277"/>
      <c r="G3" s="277"/>
      <c r="H3" s="277"/>
      <c r="I3" s="277"/>
      <c r="J3" s="277"/>
      <c r="K3" s="277"/>
      <c r="L3" s="278"/>
      <c r="O3" s="67"/>
    </row>
    <row r="4" spans="2:40" ht="18" customHeight="1">
      <c r="B4" s="29" t="s">
        <v>102</v>
      </c>
      <c r="C4" s="279" t="s">
        <v>151</v>
      </c>
      <c r="D4" s="316"/>
      <c r="E4" s="317" t="str">
        <f>IF(C72&lt;0.5,"**Specify Model B90GE-01/LFS/LHL (Low Headloss PRV)**","")</f>
        <v/>
      </c>
      <c r="F4" s="318"/>
      <c r="G4" s="318"/>
      <c r="H4" s="318"/>
      <c r="I4" s="318"/>
      <c r="J4" s="318"/>
      <c r="K4" s="318"/>
      <c r="L4" s="275"/>
    </row>
    <row r="5" spans="2:40" ht="16.5" customHeight="1" thickBot="1">
      <c r="B5" s="237" t="s">
        <v>123</v>
      </c>
      <c r="C5" s="87"/>
      <c r="D5" s="264">
        <v>1</v>
      </c>
      <c r="E5" s="317" t="str">
        <f>IF(D29&gt;70,"Valve percentage open is greater than 70%  increase size !",IF(D30&gt;5,"Velocity greater that 5 m/s increase valve size",IF(D10&gt;=(2+(C54*D11)),"Possible cavitation damage contact CLA-VAL !"," ")))</f>
        <v xml:space="preserve"> </v>
      </c>
      <c r="F5" s="318"/>
      <c r="G5" s="318"/>
      <c r="H5" s="318"/>
      <c r="I5" s="318"/>
      <c r="J5" s="318"/>
      <c r="K5" s="318"/>
      <c r="L5" s="275"/>
      <c r="M5" s="5"/>
    </row>
    <row r="6" spans="2:40" ht="9.75" hidden="1" customHeight="1" thickBot="1">
      <c r="B6" s="237" t="s">
        <v>86</v>
      </c>
      <c r="C6" s="88"/>
      <c r="D6" s="265">
        <v>1</v>
      </c>
      <c r="L6" s="123"/>
      <c r="M6" s="5"/>
    </row>
    <row r="7" spans="2:40" ht="16.5" customHeight="1" thickBot="1">
      <c r="B7" s="237" t="s">
        <v>66</v>
      </c>
      <c r="C7" s="89" t="str">
        <f>IF($D$5=1,"l/s",IF($D$5=2,"M3/h","L/min"))</f>
        <v>l/s</v>
      </c>
      <c r="D7" s="266">
        <v>0</v>
      </c>
      <c r="E7" s="256" t="str">
        <f>IF(D20=1,"   Model: B90GE-01/LFS","   Model: NGE-B90-01/LFS")</f>
        <v xml:space="preserve">   Model: NGE-B90-01/LFS</v>
      </c>
      <c r="F7" s="257"/>
      <c r="G7" s="257"/>
      <c r="H7" s="258"/>
      <c r="I7" s="258" t="s">
        <v>47</v>
      </c>
      <c r="J7" s="259" t="s">
        <v>87</v>
      </c>
      <c r="K7" s="259">
        <f>D21</f>
        <v>50</v>
      </c>
      <c r="L7" s="256" t="s">
        <v>75</v>
      </c>
      <c r="M7" s="5"/>
    </row>
    <row r="8" spans="2:40" ht="16.5" customHeight="1">
      <c r="B8" s="237" t="s">
        <v>67</v>
      </c>
      <c r="C8" s="89" t="str">
        <f>IF($D$5=1,"l/s",IF($D$5=2,"M3/h","L/min"))</f>
        <v>l/s</v>
      </c>
      <c r="D8" s="266">
        <v>3</v>
      </c>
      <c r="E8" s="171"/>
      <c r="F8" s="91"/>
      <c r="G8" s="91"/>
      <c r="H8" s="172"/>
      <c r="I8" s="172"/>
      <c r="J8" s="172"/>
      <c r="K8" s="172"/>
      <c r="L8" s="173"/>
      <c r="M8" s="5"/>
    </row>
    <row r="9" spans="2:40" ht="16.5" customHeight="1">
      <c r="B9" s="237" t="s">
        <v>139</v>
      </c>
      <c r="C9" s="89" t="s">
        <v>122</v>
      </c>
      <c r="D9" s="266">
        <v>6</v>
      </c>
      <c r="E9" s="174"/>
      <c r="F9" s="6"/>
      <c r="G9" s="6"/>
      <c r="H9" s="7"/>
      <c r="I9" s="7"/>
      <c r="J9" s="7"/>
      <c r="K9" s="7"/>
      <c r="L9" s="175"/>
      <c r="M9" s="5"/>
    </row>
    <row r="10" spans="2:40" ht="16.5" customHeight="1">
      <c r="B10" s="237" t="s">
        <v>140</v>
      </c>
      <c r="C10" s="89" t="s">
        <v>122</v>
      </c>
      <c r="D10" s="266">
        <v>6</v>
      </c>
      <c r="E10" s="92"/>
      <c r="F10" s="6"/>
      <c r="G10" s="6"/>
      <c r="H10" s="7"/>
      <c r="I10" s="7"/>
      <c r="J10" s="7"/>
      <c r="K10" s="7"/>
      <c r="L10" s="175"/>
      <c r="M10" s="5"/>
      <c r="N10" s="46"/>
      <c r="P10" s="76"/>
    </row>
    <row r="11" spans="2:40" ht="14.25" customHeight="1">
      <c r="B11" s="237" t="s">
        <v>141</v>
      </c>
      <c r="C11" s="93" t="s">
        <v>122</v>
      </c>
      <c r="D11" s="266">
        <v>3</v>
      </c>
      <c r="E11" s="92"/>
      <c r="F11" s="6"/>
      <c r="G11" s="6"/>
      <c r="H11" s="7"/>
      <c r="I11" s="7"/>
      <c r="J11" s="7"/>
      <c r="K11" s="7"/>
      <c r="L11" s="175"/>
      <c r="M11" s="5"/>
      <c r="N11" s="45"/>
      <c r="O11" s="2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2:40" ht="6.75" hidden="1" customHeight="1">
      <c r="B12" s="27" t="s">
        <v>46</v>
      </c>
      <c r="C12" s="25" t="s">
        <v>1</v>
      </c>
      <c r="D12" s="95">
        <v>0</v>
      </c>
      <c r="E12" s="92"/>
      <c r="F12" s="6"/>
      <c r="G12" s="6"/>
      <c r="H12" s="7"/>
      <c r="I12" s="7"/>
      <c r="J12" s="7"/>
      <c r="K12" s="7"/>
      <c r="L12" s="175"/>
      <c r="M12" s="5"/>
      <c r="N12" s="45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2:40" s="11" customFormat="1" ht="14.25" customHeight="1">
      <c r="B13" s="297" t="s">
        <v>105</v>
      </c>
      <c r="C13" s="298"/>
      <c r="D13" s="299"/>
      <c r="E13" s="176" t="s">
        <v>47</v>
      </c>
      <c r="F13" s="12"/>
      <c r="G13" s="12"/>
      <c r="H13" s="13"/>
      <c r="I13" s="13"/>
      <c r="J13" s="13"/>
      <c r="K13" s="13"/>
      <c r="L13" s="177"/>
      <c r="M13" s="14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18"/>
      <c r="AC13" s="16"/>
      <c r="AD13" s="18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2:40" s="11" customFormat="1" ht="20.100000000000001" customHeight="1">
      <c r="B14" s="300"/>
      <c r="C14" s="301"/>
      <c r="D14" s="302"/>
      <c r="E14" s="178"/>
      <c r="F14" s="12"/>
      <c r="G14" s="12"/>
      <c r="H14" s="13"/>
      <c r="I14" s="13"/>
      <c r="J14" s="13"/>
      <c r="K14" s="13"/>
      <c r="L14" s="177"/>
      <c r="M14" s="14"/>
      <c r="N14" s="46"/>
      <c r="O14" s="49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7"/>
      <c r="AB14" s="18"/>
      <c r="AC14" s="16"/>
      <c r="AD14" s="18"/>
      <c r="AE14" s="16"/>
      <c r="AF14" s="16"/>
      <c r="AG14" s="16"/>
      <c r="AH14" s="16"/>
      <c r="AI14" s="16"/>
      <c r="AJ14" s="16"/>
      <c r="AK14" s="16"/>
      <c r="AL14" s="16"/>
      <c r="AM14" s="16"/>
      <c r="AN14" s="16"/>
    </row>
    <row r="15" spans="2:40" s="11" customFormat="1" ht="20.100000000000001" customHeight="1">
      <c r="B15" s="303"/>
      <c r="C15" s="304"/>
      <c r="D15" s="305"/>
      <c r="E15" s="178"/>
      <c r="F15" s="12"/>
      <c r="G15" s="12"/>
      <c r="H15" s="13"/>
      <c r="I15" s="13"/>
      <c r="J15" s="13"/>
      <c r="K15" s="13"/>
      <c r="L15" s="177"/>
      <c r="M15" s="14"/>
      <c r="N15" s="48"/>
      <c r="O15" s="49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7"/>
      <c r="AB15" s="18"/>
      <c r="AC15" s="16"/>
      <c r="AD15" s="18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spans="2:40" ht="21" customHeight="1">
      <c r="B16" s="199" t="s">
        <v>131</v>
      </c>
      <c r="C16" s="196" t="s">
        <v>129</v>
      </c>
      <c r="D16" s="260">
        <f>S180</f>
        <v>50</v>
      </c>
      <c r="E16" s="92"/>
      <c r="F16" s="6"/>
      <c r="G16" s="6"/>
      <c r="H16" s="7"/>
      <c r="I16" s="7"/>
      <c r="J16" s="7"/>
      <c r="K16" s="7"/>
      <c r="L16" s="175"/>
      <c r="M16" s="5"/>
      <c r="P16" s="50"/>
      <c r="Q16" s="200"/>
      <c r="R16" s="47"/>
      <c r="Z16" s="68"/>
      <c r="AA16" s="69"/>
    </row>
    <row r="17" spans="2:40" ht="18.75" customHeight="1" thickBot="1">
      <c r="B17" s="198" t="s">
        <v>128</v>
      </c>
      <c r="C17" s="197" t="s">
        <v>130</v>
      </c>
      <c r="D17" s="261">
        <f>V180</f>
        <v>32</v>
      </c>
      <c r="E17" s="92"/>
      <c r="F17" s="6"/>
      <c r="G17" s="6"/>
      <c r="H17" s="7"/>
      <c r="I17" s="7"/>
      <c r="J17" s="7"/>
      <c r="K17" s="7"/>
      <c r="L17" s="175"/>
      <c r="M17" s="5"/>
      <c r="N17" s="11"/>
      <c r="O17" s="11"/>
      <c r="P17" s="51"/>
      <c r="Q17" s="52"/>
      <c r="R17" s="52"/>
      <c r="S17" s="16"/>
      <c r="T17" s="16"/>
      <c r="U17" s="16"/>
      <c r="V17" s="16"/>
      <c r="W17" s="16"/>
      <c r="X17" s="16"/>
      <c r="Y17" s="16"/>
      <c r="Z17" s="68"/>
      <c r="AA17" s="69"/>
    </row>
    <row r="18" spans="2:40" ht="15.75" customHeight="1">
      <c r="B18" s="306" t="s">
        <v>134</v>
      </c>
      <c r="C18" s="307"/>
      <c r="D18" s="308"/>
      <c r="E18" s="92"/>
      <c r="F18" s="6"/>
      <c r="G18" s="6"/>
      <c r="H18" s="7"/>
      <c r="I18" s="7"/>
      <c r="J18" s="7"/>
      <c r="K18" s="7"/>
      <c r="L18" s="175"/>
      <c r="M18" s="5"/>
      <c r="N18" s="11"/>
      <c r="O18" s="11"/>
      <c r="P18" s="51"/>
      <c r="Q18" s="52"/>
      <c r="R18" s="52"/>
      <c r="S18" s="16"/>
      <c r="T18" s="16"/>
      <c r="U18" s="16"/>
      <c r="V18" s="16"/>
      <c r="W18" s="16"/>
      <c r="X18" s="16"/>
      <c r="Y18" s="16"/>
      <c r="Z18" s="68"/>
      <c r="AA18" s="69"/>
    </row>
    <row r="19" spans="2:40" ht="16.5" customHeight="1">
      <c r="B19" s="238" t="s">
        <v>83</v>
      </c>
      <c r="C19" s="239" t="s">
        <v>64</v>
      </c>
      <c r="D19" s="262">
        <v>1</v>
      </c>
      <c r="E19" s="92"/>
      <c r="F19" s="6"/>
      <c r="G19" s="6"/>
      <c r="H19" s="7"/>
      <c r="I19" s="7"/>
      <c r="J19" s="7"/>
      <c r="K19" s="7"/>
      <c r="L19" s="175"/>
      <c r="M19" s="5"/>
      <c r="N19" s="11"/>
      <c r="O19" s="11"/>
      <c r="P19" s="51"/>
      <c r="Q19" s="52"/>
      <c r="R19" s="52"/>
      <c r="S19" s="16"/>
      <c r="T19" s="16"/>
      <c r="U19" s="16"/>
      <c r="V19" s="16"/>
      <c r="W19" s="16"/>
      <c r="X19" s="16"/>
      <c r="Y19" s="16"/>
      <c r="Z19" s="68"/>
      <c r="AA19" s="69"/>
    </row>
    <row r="20" spans="2:40" ht="16.5" customHeight="1">
      <c r="B20" s="238" t="s">
        <v>144</v>
      </c>
      <c r="C20" s="239" t="s">
        <v>64</v>
      </c>
      <c r="D20" s="262">
        <v>2</v>
      </c>
      <c r="E20" s="92"/>
      <c r="F20" s="6"/>
      <c r="G20" s="6"/>
      <c r="H20" s="7"/>
      <c r="I20" s="7"/>
      <c r="J20" s="7"/>
      <c r="K20" s="7"/>
      <c r="L20" s="175"/>
      <c r="M20" s="5"/>
      <c r="N20" s="11"/>
      <c r="O20" s="11"/>
      <c r="P20" s="51"/>
      <c r="Q20" s="52"/>
      <c r="R20" s="52"/>
      <c r="S20" s="16"/>
      <c r="T20" s="16"/>
      <c r="U20" s="16"/>
      <c r="V20" s="16"/>
      <c r="W20" s="16"/>
      <c r="X20" s="16"/>
      <c r="Y20" s="16"/>
      <c r="Z20" s="68"/>
      <c r="AA20" s="69"/>
    </row>
    <row r="21" spans="2:40" ht="27" customHeight="1" thickBot="1">
      <c r="B21" s="240" t="s">
        <v>98</v>
      </c>
      <c r="C21" s="241"/>
      <c r="D21" s="263">
        <f>D16</f>
        <v>50</v>
      </c>
      <c r="E21" s="92"/>
      <c r="F21" s="6"/>
      <c r="G21" s="6"/>
      <c r="H21" s="7"/>
      <c r="I21" s="7"/>
      <c r="J21" s="7"/>
      <c r="K21" s="7"/>
      <c r="L21" s="175"/>
      <c r="M21" s="5"/>
      <c r="N21" s="11"/>
      <c r="O21" s="11"/>
      <c r="P21" s="51"/>
      <c r="Q21" s="52"/>
      <c r="R21" s="52"/>
      <c r="S21" s="16"/>
      <c r="T21" s="16"/>
      <c r="U21" s="16"/>
      <c r="V21" s="16"/>
      <c r="W21" s="16"/>
      <c r="X21" s="16"/>
      <c r="Y21" s="16"/>
      <c r="Z21" s="68"/>
      <c r="AA21" s="69"/>
    </row>
    <row r="22" spans="2:40" s="19" customFormat="1" ht="17.25" customHeight="1">
      <c r="B22" s="335" t="s">
        <v>132</v>
      </c>
      <c r="C22" s="336"/>
      <c r="D22" s="337"/>
      <c r="E22" s="179"/>
      <c r="F22" s="20"/>
      <c r="G22" s="20"/>
      <c r="H22" s="21"/>
      <c r="I22" s="21"/>
      <c r="J22" s="21"/>
      <c r="K22" s="21"/>
      <c r="L22" s="180"/>
      <c r="M22" s="22"/>
      <c r="N22" s="96"/>
      <c r="O22" s="11"/>
      <c r="P22" s="15"/>
      <c r="Q22" s="16"/>
      <c r="R22" s="16"/>
      <c r="S22" s="16"/>
      <c r="T22" s="16"/>
      <c r="U22" s="16"/>
      <c r="V22" s="16"/>
      <c r="W22" s="16"/>
      <c r="X22" s="16"/>
      <c r="Y22" s="16"/>
      <c r="Z22" s="70"/>
      <c r="AA22" s="71"/>
      <c r="AB22" s="24"/>
      <c r="AC22" s="23"/>
      <c r="AD22" s="24"/>
      <c r="AE22" s="23"/>
      <c r="AF22" s="23"/>
      <c r="AG22" s="23"/>
      <c r="AH22" s="23"/>
      <c r="AI22" s="23"/>
      <c r="AJ22" s="23"/>
      <c r="AK22" s="23"/>
      <c r="AL22" s="23"/>
      <c r="AM22" s="23"/>
      <c r="AN22" s="23"/>
    </row>
    <row r="23" spans="2:40" s="11" customFormat="1" ht="24.75" customHeight="1">
      <c r="B23" s="236" t="s">
        <v>143</v>
      </c>
      <c r="C23" s="338">
        <f>D21</f>
        <v>50</v>
      </c>
      <c r="D23" s="339"/>
      <c r="E23" s="176"/>
      <c r="F23" s="12"/>
      <c r="G23" s="12"/>
      <c r="H23" s="13"/>
      <c r="I23" s="13"/>
      <c r="J23" s="13"/>
      <c r="K23" s="13"/>
      <c r="L23" s="177"/>
      <c r="M23" s="14"/>
      <c r="N23" s="96"/>
      <c r="P23" s="15"/>
      <c r="Q23" s="16"/>
      <c r="R23" s="16"/>
      <c r="V23" s="16"/>
      <c r="W23" s="16"/>
      <c r="X23" s="16"/>
      <c r="Y23" s="16"/>
      <c r="Z23" s="72"/>
      <c r="AA23" s="73"/>
      <c r="AB23" s="18"/>
      <c r="AC23" s="16"/>
      <c r="AD23" s="18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  <row r="24" spans="2:40" ht="17.25" customHeight="1">
      <c r="B24" s="236" t="s">
        <v>100</v>
      </c>
      <c r="C24" s="340" t="str">
        <f>IF(D20=2,"NGE-B90-01/LFS","B90GE-01/LFS")</f>
        <v>NGE-B90-01/LFS</v>
      </c>
      <c r="D24" s="341"/>
      <c r="E24" s="92"/>
      <c r="F24" s="8"/>
      <c r="G24" s="8"/>
      <c r="H24" s="7"/>
      <c r="I24" s="7"/>
      <c r="J24" s="7"/>
      <c r="K24" s="7"/>
      <c r="L24" s="181"/>
      <c r="M24" s="5"/>
      <c r="N24" s="5"/>
      <c r="O24" s="11"/>
      <c r="R24" s="4" t="s">
        <v>96</v>
      </c>
      <c r="Z24" s="68"/>
      <c r="AA24" s="69"/>
    </row>
    <row r="25" spans="2:40" ht="17.25" customHeight="1">
      <c r="B25" s="236" t="s">
        <v>150</v>
      </c>
      <c r="C25" s="342">
        <f>$E$39</f>
        <v>32</v>
      </c>
      <c r="D25" s="343"/>
      <c r="E25" s="319" t="s">
        <v>126</v>
      </c>
      <c r="F25" s="320"/>
      <c r="G25" s="320"/>
      <c r="H25" s="320"/>
      <c r="I25" s="320"/>
      <c r="J25" s="320"/>
      <c r="K25" s="320"/>
      <c r="L25" s="321"/>
      <c r="M25" s="5"/>
      <c r="N25" s="5"/>
      <c r="O25" s="11"/>
      <c r="Z25" s="68"/>
      <c r="AA25" s="69"/>
    </row>
    <row r="26" spans="2:40" ht="17.25" customHeight="1">
      <c r="B26" s="236" t="s">
        <v>103</v>
      </c>
      <c r="C26" s="340" t="str">
        <f>IF(C71&lt;1.8,"0.1 - 2 bar",IF(C71&lt;6.7,"1.4 - 7.2 bar","2 - 20 bar"))</f>
        <v>1.4 - 7.2 bar</v>
      </c>
      <c r="D26" s="341"/>
      <c r="E26" s="319"/>
      <c r="F26" s="320"/>
      <c r="G26" s="320"/>
      <c r="H26" s="320"/>
      <c r="I26" s="320"/>
      <c r="J26" s="320"/>
      <c r="K26" s="320"/>
      <c r="L26" s="321"/>
      <c r="M26" s="5"/>
      <c r="O26" s="74"/>
      <c r="P26" s="50"/>
      <c r="Q26" s="68"/>
      <c r="R26" s="68"/>
      <c r="V26" s="68"/>
      <c r="W26" s="68"/>
      <c r="X26" s="68"/>
      <c r="Y26" s="68"/>
      <c r="Z26" s="68"/>
      <c r="AA26" s="69"/>
    </row>
    <row r="27" spans="2:40" ht="13.5" customHeight="1">
      <c r="B27" s="235" t="s">
        <v>94</v>
      </c>
      <c r="C27" s="251" t="s">
        <v>68</v>
      </c>
      <c r="D27" s="251" t="s">
        <v>69</v>
      </c>
      <c r="E27" s="92"/>
      <c r="F27" s="8"/>
      <c r="G27" s="8"/>
      <c r="H27" s="8"/>
      <c r="I27" s="8"/>
      <c r="J27" s="8"/>
      <c r="K27" s="8"/>
      <c r="L27" s="181"/>
      <c r="M27" s="5"/>
      <c r="O27" s="74"/>
      <c r="P27" s="50"/>
      <c r="Q27" s="68"/>
      <c r="R27" s="68"/>
      <c r="V27" s="68"/>
      <c r="W27" s="68"/>
      <c r="X27" s="68"/>
      <c r="Y27" s="68"/>
      <c r="Z27" s="68"/>
      <c r="AA27" s="69"/>
    </row>
    <row r="28" spans="2:40" ht="13.5" customHeight="1">
      <c r="B28" s="242" t="s">
        <v>85</v>
      </c>
      <c r="C28" s="243">
        <f>100*(($C$74/($C$69-$C$71)^0.5)/$D$39)</f>
        <v>0</v>
      </c>
      <c r="D28" s="244">
        <f>100*(($C$75/($C$70-$C$71)^0.5)/$D$39)</f>
        <v>19.245008972987527</v>
      </c>
      <c r="E28" s="92"/>
      <c r="F28" s="8"/>
      <c r="G28" s="8"/>
      <c r="H28" s="8"/>
      <c r="I28" s="8"/>
      <c r="J28" s="8"/>
      <c r="K28" s="8"/>
      <c r="L28" s="181"/>
      <c r="M28" s="5"/>
      <c r="O28" s="74"/>
      <c r="P28" s="50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9"/>
    </row>
    <row r="29" spans="2:40" ht="13.5" customHeight="1">
      <c r="B29" s="245" t="s">
        <v>72</v>
      </c>
      <c r="C29" s="246">
        <f>IF($D$39&lt;&gt;"Non disp.",IF(C28&gt;100,100,100*(D76*($C28/100)^1+E76*($C28/100)^2+F76*($C28/100)^3+G76*($C28/100)^4+H76*($C28/100)^5)),"Non disp")</f>
        <v>0</v>
      </c>
      <c r="D29" s="247">
        <f>IF($D$39&lt;&gt;"Non disp.",IF(D28&gt;100,100,100*(D76*(D28/100)^1+E76*(D28/100)^2+F76*(D28/100)^3+G76*(D28/100)^4+H76*(D28/100)^5)),"Non disp")</f>
        <v>34.059894311127678</v>
      </c>
      <c r="E29" s="92"/>
      <c r="F29" s="8"/>
      <c r="G29" s="8"/>
      <c r="H29" s="8"/>
      <c r="I29" s="8"/>
      <c r="J29" s="8"/>
      <c r="K29" s="8"/>
      <c r="L29" s="181"/>
      <c r="M29" s="5"/>
      <c r="O29" s="74"/>
      <c r="P29" s="50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9"/>
    </row>
    <row r="30" spans="2:40" ht="13.5" customHeight="1">
      <c r="B30" s="245" t="s">
        <v>138</v>
      </c>
      <c r="C30" s="252">
        <f>($C$74/1000)/(3.1418*($C$73/2000)^2)</f>
        <v>0</v>
      </c>
      <c r="D30" s="253">
        <f>($C$75/1000)/(3.1418*($C$73/2000)^2)</f>
        <v>1.5277866191355269</v>
      </c>
      <c r="E30" s="92"/>
      <c r="F30" s="8"/>
      <c r="G30" s="8"/>
      <c r="H30" s="8"/>
      <c r="I30" s="8"/>
      <c r="J30" s="8"/>
      <c r="K30" s="8"/>
      <c r="L30" s="181"/>
      <c r="M30" s="66"/>
      <c r="O30" s="74"/>
      <c r="P30" s="50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9"/>
    </row>
    <row r="31" spans="2:40" ht="13.5" customHeight="1" thickBot="1">
      <c r="B31" s="248" t="s">
        <v>71</v>
      </c>
      <c r="C31" s="249">
        <f>$D$40*((C30^2)/(2*9.81))*0.0981</f>
        <v>0</v>
      </c>
      <c r="D31" s="250">
        <f>$D$40*((D30^2)/(2*9.81))*0.0981</f>
        <v>0.11117455197424</v>
      </c>
      <c r="E31" s="92"/>
      <c r="F31" s="8"/>
      <c r="G31" s="8"/>
      <c r="H31" s="8"/>
      <c r="I31" s="8"/>
      <c r="J31" s="8"/>
      <c r="K31" s="8"/>
      <c r="L31" s="181"/>
      <c r="M31" s="5"/>
      <c r="O31" s="97"/>
      <c r="R31" s="68"/>
      <c r="S31" s="68"/>
      <c r="T31" s="68"/>
      <c r="U31" s="68"/>
      <c r="V31" s="68"/>
      <c r="W31" s="68"/>
      <c r="X31" s="68"/>
      <c r="Y31" s="68"/>
      <c r="Z31" s="68"/>
      <c r="AA31" s="69"/>
    </row>
    <row r="32" spans="2:40" ht="13.5" hidden="1" customHeight="1" thickBot="1">
      <c r="B32" s="78" t="s">
        <v>73</v>
      </c>
      <c r="C32" s="79">
        <f>D41*C29/100</f>
        <v>0</v>
      </c>
      <c r="D32" s="90">
        <f>D41*D29/100</f>
        <v>3.4059894311127676</v>
      </c>
      <c r="E32" s="182"/>
      <c r="F32" s="183"/>
      <c r="G32" s="183"/>
      <c r="H32" s="183"/>
      <c r="I32" s="183"/>
      <c r="J32" s="183"/>
      <c r="K32" s="183"/>
      <c r="L32" s="184"/>
      <c r="M32" s="3"/>
      <c r="R32" s="68"/>
      <c r="S32" s="68"/>
      <c r="T32" s="68"/>
      <c r="U32" s="68"/>
      <c r="V32" s="68"/>
      <c r="W32" s="68"/>
      <c r="X32" s="68"/>
      <c r="Y32" s="68"/>
      <c r="Z32" s="68"/>
      <c r="AA32" s="69"/>
    </row>
    <row r="33" spans="1:30" ht="18" customHeight="1">
      <c r="B33" s="322" t="s">
        <v>91</v>
      </c>
      <c r="C33" s="323"/>
      <c r="D33" s="323"/>
      <c r="E33" s="323"/>
      <c r="F33" s="323"/>
      <c r="G33" s="323"/>
      <c r="H33" s="323"/>
      <c r="I33" s="323"/>
      <c r="J33" s="323"/>
      <c r="K33" s="323"/>
      <c r="L33" s="324"/>
      <c r="M33" s="3"/>
      <c r="R33" s="68"/>
      <c r="S33" s="68"/>
      <c r="T33" s="68"/>
      <c r="U33" s="68"/>
      <c r="V33" s="68"/>
      <c r="W33" s="68"/>
      <c r="X33" s="68"/>
      <c r="Y33" s="68"/>
      <c r="Z33" s="68"/>
      <c r="AA33" s="69"/>
    </row>
    <row r="34" spans="1:30" ht="13.5" customHeight="1">
      <c r="B34" s="325" t="s">
        <v>135</v>
      </c>
      <c r="C34" s="326"/>
      <c r="D34" s="326"/>
      <c r="E34" s="326"/>
      <c r="F34" s="326"/>
      <c r="G34" s="326"/>
      <c r="H34" s="326"/>
      <c r="I34" s="326"/>
      <c r="J34" s="326"/>
      <c r="K34" s="326"/>
      <c r="L34" s="327"/>
      <c r="M34" s="3"/>
      <c r="R34" s="68"/>
      <c r="S34" s="68"/>
      <c r="T34" s="68"/>
      <c r="U34" s="68"/>
      <c r="V34" s="68"/>
      <c r="W34" s="68"/>
      <c r="X34" s="68"/>
      <c r="Y34" s="68"/>
      <c r="Z34" s="68"/>
      <c r="AA34" s="69"/>
    </row>
    <row r="35" spans="1:30" ht="13.5" customHeight="1">
      <c r="B35" s="325" t="s">
        <v>136</v>
      </c>
      <c r="C35" s="326"/>
      <c r="D35" s="326"/>
      <c r="E35" s="326"/>
      <c r="F35" s="326"/>
      <c r="G35" s="326"/>
      <c r="H35" s="326"/>
      <c r="I35" s="326"/>
      <c r="J35" s="326"/>
      <c r="K35" s="326"/>
      <c r="L35" s="327"/>
      <c r="M35" s="3"/>
      <c r="R35" s="68"/>
      <c r="S35" s="68"/>
      <c r="T35" s="68"/>
      <c r="U35" s="68"/>
      <c r="V35" s="68"/>
      <c r="W35" s="68"/>
      <c r="X35" s="68"/>
      <c r="Y35" s="68"/>
      <c r="Z35" s="68"/>
      <c r="AA35" s="69"/>
    </row>
    <row r="36" spans="1:30" ht="13.5" customHeight="1" thickBot="1">
      <c r="B36" s="328" t="s">
        <v>99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30"/>
      <c r="M36" s="3"/>
      <c r="R36" s="68"/>
      <c r="S36" s="68"/>
      <c r="T36" s="68"/>
      <c r="U36" s="68"/>
      <c r="V36" s="68"/>
      <c r="W36" s="68"/>
      <c r="X36" s="68"/>
      <c r="Y36" s="68"/>
      <c r="Z36" s="68"/>
      <c r="AA36" s="69"/>
    </row>
    <row r="37" spans="1:30" s="120" customFormat="1" ht="13.5" customHeight="1">
      <c r="B37" s="122"/>
      <c r="C37" s="122"/>
      <c r="D37" s="122"/>
      <c r="E37" s="6"/>
      <c r="F37" s="8"/>
      <c r="G37" s="8"/>
      <c r="H37" s="8"/>
      <c r="I37" s="8"/>
      <c r="J37" s="8"/>
      <c r="K37" s="8"/>
      <c r="L37" s="8"/>
      <c r="M37" s="3"/>
      <c r="N37" s="2"/>
      <c r="O37" s="94"/>
      <c r="P37" s="2"/>
      <c r="R37" s="68"/>
      <c r="S37" s="68"/>
      <c r="T37" s="68"/>
      <c r="U37" s="68"/>
      <c r="V37" s="68"/>
      <c r="W37" s="68"/>
      <c r="X37" s="68"/>
      <c r="Y37" s="68"/>
      <c r="Z37" s="68"/>
      <c r="AA37" s="69"/>
    </row>
    <row r="38" spans="1:30" s="120" customFormat="1" ht="12" customHeight="1">
      <c r="B38" s="2"/>
      <c r="C38" s="2"/>
      <c r="D38" s="2"/>
      <c r="E38" s="6"/>
      <c r="F38" s="8"/>
      <c r="G38" s="8"/>
      <c r="H38" s="8"/>
      <c r="I38" s="8"/>
      <c r="J38" s="8"/>
      <c r="K38" s="8"/>
      <c r="L38" s="8"/>
      <c r="M38" s="3"/>
      <c r="N38" s="124"/>
      <c r="O38" s="74"/>
      <c r="P38" s="50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9"/>
    </row>
    <row r="39" spans="1:30" s="120" customFormat="1" ht="17.25" hidden="1" customHeight="1" thickBot="1">
      <c r="A39" s="68"/>
      <c r="B39" s="125" t="s">
        <v>70</v>
      </c>
      <c r="C39" s="126">
        <v>48</v>
      </c>
      <c r="D39" s="127">
        <f>IF(D12=0,IF(VLOOKUP(D20*10000+D19*1000+IF(D20=1,D21,D21),_xlnm.Criteria,1)&lt;&gt;(D20*10000+D19*1000+IF(D20=1,D21,D21)),"Non disp.",VLOOKUP(D20*10000+D19*1000+IF(D20=1,D21,D21),_xlnm.Criteria,2)),D12)</f>
        <v>9</v>
      </c>
      <c r="E39" s="127">
        <f>ROUND(D39*3.6,0)</f>
        <v>32</v>
      </c>
      <c r="F39" s="8"/>
      <c r="G39" s="8"/>
      <c r="H39" s="8"/>
      <c r="I39" s="8"/>
      <c r="J39" s="8"/>
      <c r="K39" s="8"/>
      <c r="L39" s="8"/>
      <c r="M39" s="3"/>
      <c r="N39" s="124"/>
      <c r="O39" s="74"/>
      <c r="P39" s="50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9"/>
    </row>
    <row r="40" spans="1:30" s="120" customFormat="1" ht="15" hidden="1" customHeight="1">
      <c r="A40" s="68"/>
      <c r="B40" s="77" t="s">
        <v>44</v>
      </c>
      <c r="C40" s="128" t="s">
        <v>3</v>
      </c>
      <c r="D40" s="129">
        <f>$D$21^4/(8100*$D$39^2)</f>
        <v>9.5259868922420363</v>
      </c>
      <c r="E40" s="127"/>
      <c r="F40" s="8"/>
      <c r="G40" s="8"/>
      <c r="H40" s="8"/>
      <c r="I40" s="8"/>
      <c r="J40" s="8"/>
      <c r="K40" s="8"/>
      <c r="L40" s="8"/>
      <c r="M40" s="3"/>
      <c r="N40" s="124"/>
      <c r="O40" s="74"/>
      <c r="P40" s="50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9"/>
    </row>
    <row r="41" spans="1:30" s="120" customFormat="1" ht="15" hidden="1" customHeight="1">
      <c r="A41" s="68"/>
      <c r="B41" s="77" t="s">
        <v>74</v>
      </c>
      <c r="C41" s="128" t="s">
        <v>0</v>
      </c>
      <c r="D41" s="129">
        <f>M76</f>
        <v>10</v>
      </c>
      <c r="E41" s="6"/>
      <c r="F41" s="8"/>
      <c r="G41" s="8"/>
      <c r="H41" s="8"/>
      <c r="I41" s="8"/>
      <c r="J41" s="8"/>
      <c r="K41" s="8"/>
      <c r="L41" s="8"/>
      <c r="M41" s="3"/>
      <c r="N41" s="124"/>
      <c r="O41" s="74"/>
      <c r="P41" s="50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9"/>
    </row>
    <row r="42" spans="1:30" s="120" customFormat="1" ht="15" hidden="1" customHeight="1" thickBot="1">
      <c r="A42" s="68"/>
      <c r="B42" s="78" t="s">
        <v>90</v>
      </c>
      <c r="C42" s="130" t="s">
        <v>0</v>
      </c>
      <c r="D42" s="131">
        <f>O76</f>
        <v>40</v>
      </c>
      <c r="E42" s="6"/>
      <c r="F42" s="8"/>
      <c r="G42" s="8"/>
      <c r="H42" s="8"/>
      <c r="I42" s="8"/>
      <c r="J42" s="8"/>
      <c r="K42" s="8"/>
      <c r="L42" s="8"/>
      <c r="M42" s="3"/>
      <c r="N42" s="124"/>
      <c r="O42" s="74"/>
      <c r="P42" s="50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9"/>
    </row>
    <row r="43" spans="1:30" s="120" customFormat="1" ht="12" customHeight="1">
      <c r="A43" s="68"/>
      <c r="B43" s="54"/>
      <c r="C43" s="54"/>
      <c r="D43" s="54"/>
      <c r="E43" s="32"/>
      <c r="F43" s="33"/>
      <c r="G43" s="33"/>
      <c r="H43" s="33"/>
      <c r="I43" s="33"/>
      <c r="J43" s="33"/>
      <c r="K43" s="33"/>
      <c r="L43" s="33"/>
      <c r="M43" s="53"/>
      <c r="N43" s="80"/>
      <c r="O43" s="81"/>
      <c r="P43" s="82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4"/>
      <c r="AB43" s="55"/>
      <c r="AC43" s="55"/>
      <c r="AD43" s="55"/>
    </row>
    <row r="44" spans="1:30" s="120" customFormat="1" ht="12" customHeight="1">
      <c r="A44" s="68"/>
      <c r="B44" s="30"/>
      <c r="C44" s="30"/>
      <c r="D44" s="30"/>
      <c r="E44" s="32"/>
      <c r="F44" s="33"/>
      <c r="G44" s="33"/>
      <c r="H44" s="33"/>
      <c r="I44" s="33"/>
      <c r="J44" s="33"/>
      <c r="K44" s="33"/>
      <c r="L44" s="33"/>
      <c r="M44" s="53"/>
      <c r="N44" s="80"/>
      <c r="O44" s="81"/>
      <c r="P44" s="82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4"/>
      <c r="AB44" s="55"/>
      <c r="AC44" s="55"/>
      <c r="AD44" s="55"/>
    </row>
    <row r="45" spans="1:30" s="120" customFormat="1" ht="12" customHeight="1">
      <c r="A45" s="132"/>
      <c r="B45" s="98" t="s">
        <v>92</v>
      </c>
      <c r="C45" s="99"/>
      <c r="D45" s="99"/>
      <c r="E45" s="32"/>
      <c r="F45" s="33"/>
      <c r="G45" s="33"/>
      <c r="H45" s="33"/>
      <c r="I45" s="33"/>
      <c r="J45" s="33"/>
      <c r="K45" s="33"/>
      <c r="L45" s="33"/>
      <c r="M45" s="53"/>
      <c r="N45" s="80"/>
      <c r="O45" s="81"/>
      <c r="P45" s="82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4"/>
      <c r="AB45" s="55"/>
      <c r="AC45" s="55"/>
      <c r="AD45" s="55"/>
    </row>
    <row r="46" spans="1:30" s="120" customFormat="1" ht="12" customHeight="1">
      <c r="A46" s="132"/>
      <c r="B46" s="30" t="s">
        <v>77</v>
      </c>
      <c r="C46" s="30"/>
      <c r="D46" s="31"/>
      <c r="E46" s="32"/>
      <c r="F46" s="33"/>
      <c r="G46" s="33"/>
      <c r="H46" s="33"/>
      <c r="I46" s="33"/>
      <c r="J46" s="33"/>
      <c r="K46" s="33"/>
      <c r="L46" s="33"/>
      <c r="M46" s="53"/>
      <c r="N46" s="80"/>
      <c r="O46" s="81"/>
      <c r="P46" s="82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4"/>
      <c r="AB46" s="55"/>
      <c r="AC46" s="55"/>
      <c r="AD46" s="55"/>
    </row>
    <row r="47" spans="1:30" s="120" customFormat="1" ht="12" customHeight="1">
      <c r="A47" s="132"/>
      <c r="B47" s="30" t="s">
        <v>41</v>
      </c>
      <c r="C47" s="34" t="str">
        <f>IF($D$39&lt;&gt;"Non disp.",$I$76,"Non disp.")</f>
        <v>Extrapolation</v>
      </c>
      <c r="D47" s="35"/>
      <c r="E47" s="99"/>
      <c r="F47" s="99"/>
      <c r="G47" s="54"/>
      <c r="H47" s="54"/>
      <c r="I47" s="54"/>
      <c r="J47" s="54"/>
      <c r="K47" s="54"/>
      <c r="L47" s="54"/>
      <c r="M47" s="56"/>
      <c r="N47" s="56"/>
      <c r="O47" s="56"/>
      <c r="P47" s="56"/>
      <c r="Q47" s="57" t="s">
        <v>10</v>
      </c>
      <c r="R47" s="57" t="s">
        <v>10</v>
      </c>
      <c r="S47" s="56" t="s">
        <v>11</v>
      </c>
      <c r="T47" s="56"/>
      <c r="U47" s="55"/>
      <c r="V47" s="55"/>
      <c r="W47" s="55"/>
      <c r="X47" s="55"/>
      <c r="Y47" s="55"/>
      <c r="Z47" s="55"/>
      <c r="AA47" s="85"/>
      <c r="AB47" s="55"/>
      <c r="AC47" s="55"/>
      <c r="AD47" s="55"/>
    </row>
    <row r="48" spans="1:30" s="120" customFormat="1" ht="12" customHeight="1">
      <c r="A48" s="132"/>
      <c r="B48" s="30" t="s">
        <v>42</v>
      </c>
      <c r="C48" s="30" t="s">
        <v>2</v>
      </c>
      <c r="D48" s="36">
        <f>L76</f>
        <v>7.4999999999999997E-2</v>
      </c>
      <c r="E48" s="99"/>
      <c r="F48" s="99"/>
      <c r="G48" s="54"/>
      <c r="H48" s="54"/>
      <c r="I48" s="54"/>
      <c r="J48" s="54"/>
      <c r="K48" s="54"/>
      <c r="L48" s="54"/>
      <c r="M48" s="56"/>
      <c r="N48" s="56"/>
      <c r="O48" s="56"/>
      <c r="P48" s="56"/>
      <c r="Q48" s="56" t="s">
        <v>16</v>
      </c>
      <c r="R48" s="56" t="s">
        <v>17</v>
      </c>
      <c r="S48" s="56" t="s">
        <v>18</v>
      </c>
      <c r="T48" s="56"/>
      <c r="U48" s="55"/>
      <c r="V48" s="55"/>
      <c r="W48" s="55"/>
      <c r="X48" s="55"/>
      <c r="Y48" s="55"/>
      <c r="Z48" s="55"/>
      <c r="AA48" s="85"/>
      <c r="AB48" s="55"/>
      <c r="AC48" s="55"/>
      <c r="AD48" s="55"/>
    </row>
    <row r="49" spans="1:30" s="120" customFormat="1" ht="12" customHeight="1">
      <c r="A49" s="132"/>
      <c r="B49" s="30" t="s">
        <v>43</v>
      </c>
      <c r="C49" s="30" t="s">
        <v>2</v>
      </c>
      <c r="D49" s="36">
        <f>IF($D$39&lt;&gt;"Non disp.",L76*(D29-C29)/100,"")</f>
        <v>2.5544920733345758E-2</v>
      </c>
      <c r="E49" s="99"/>
      <c r="F49" s="99"/>
      <c r="G49" s="54"/>
      <c r="H49" s="54"/>
      <c r="I49" s="54"/>
      <c r="J49" s="54"/>
      <c r="K49" s="54"/>
      <c r="L49" s="54"/>
      <c r="M49" s="56"/>
      <c r="N49" s="56"/>
      <c r="O49" s="56"/>
      <c r="P49" s="56"/>
      <c r="Q49" s="58" t="e">
        <f>(1/(-2*LOG10((0.3/(3.7*$C$73))+(2.51/(S49*1000)*(R49^0.5)))))^2</f>
        <v>#DIV/0!</v>
      </c>
      <c r="R49" s="56" t="e">
        <f>(0.221/(S49*1000)^0.237)+0.0032</f>
        <v>#DIV/0!</v>
      </c>
      <c r="S49" s="56">
        <f>($C30*($C$73/1000))/(0.00115)</f>
        <v>0</v>
      </c>
      <c r="T49" s="56"/>
      <c r="U49" s="55"/>
      <c r="V49" s="55"/>
      <c r="W49" s="55"/>
      <c r="X49" s="55"/>
      <c r="Y49" s="55"/>
      <c r="Z49" s="55"/>
      <c r="AA49" s="85"/>
      <c r="AB49" s="55"/>
      <c r="AC49" s="55"/>
      <c r="AD49" s="55"/>
    </row>
    <row r="50" spans="1:30" s="120" customFormat="1" ht="12" customHeight="1">
      <c r="A50" s="132"/>
      <c r="B50" s="30"/>
      <c r="C50" s="37" t="s">
        <v>6</v>
      </c>
      <c r="D50" s="38" t="s">
        <v>7</v>
      </c>
      <c r="E50" s="39" t="s">
        <v>9</v>
      </c>
      <c r="F50" s="37" t="s">
        <v>45</v>
      </c>
      <c r="G50" s="54"/>
      <c r="H50" s="54"/>
      <c r="I50" s="54"/>
      <c r="J50" s="54"/>
      <c r="K50" s="54"/>
      <c r="L50" s="54"/>
      <c r="M50" s="56"/>
      <c r="N50" s="56"/>
      <c r="O50" s="56"/>
      <c r="P50" s="56"/>
      <c r="Q50" s="58">
        <f>(1/(-2*LOG10((0.3/(3.7*$C$73))+(2.51/(S50*1000)*(R50^0.5)))))^2</f>
        <v>3.2147761999537769E-2</v>
      </c>
      <c r="R50" s="56">
        <f>(0.221/(S50*1000)^0.237)+0.0032</f>
        <v>1.9103726938989377E-2</v>
      </c>
      <c r="S50" s="56">
        <f>($D30*($C$73/1000))/(0.00115)</f>
        <v>66.425505179805526</v>
      </c>
      <c r="T50" s="56"/>
      <c r="U50" s="55"/>
      <c r="V50" s="55"/>
      <c r="W50" s="55"/>
      <c r="X50" s="55"/>
      <c r="Y50" s="55"/>
      <c r="Z50" s="55"/>
      <c r="AA50" s="85"/>
      <c r="AB50" s="55"/>
      <c r="AC50" s="55"/>
      <c r="AD50" s="55"/>
    </row>
    <row r="51" spans="1:30" s="120" customFormat="1" ht="13.5" customHeight="1">
      <c r="A51" s="132"/>
      <c r="B51" s="30"/>
      <c r="C51" s="37" t="s">
        <v>3</v>
      </c>
      <c r="D51" s="40" t="s">
        <v>14</v>
      </c>
      <c r="E51" s="37" t="s">
        <v>15</v>
      </c>
      <c r="F51" s="37" t="s">
        <v>13</v>
      </c>
      <c r="G51" s="41"/>
      <c r="H51" s="41"/>
      <c r="I51" s="59"/>
      <c r="J51" s="41"/>
      <c r="K51" s="41"/>
      <c r="L51" s="41"/>
      <c r="M51" s="41"/>
      <c r="N51" s="41"/>
      <c r="O51" s="60"/>
      <c r="P51" s="54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85"/>
      <c r="AB51" s="55"/>
      <c r="AC51" s="55"/>
      <c r="AD51" s="55"/>
    </row>
    <row r="52" spans="1:30" s="120" customFormat="1" ht="12" customHeight="1">
      <c r="A52" s="132"/>
      <c r="B52" s="30" t="s">
        <v>37</v>
      </c>
      <c r="C52" s="42">
        <f>IF($C$73^4/(8100*($D28*D39/100)^2)&lt;D$40,D$40,$C$73^4/(8100*($D28*D39/100)^2))</f>
        <v>257.20164609053484</v>
      </c>
      <c r="D52" s="42">
        <f>C$52*$D$30^2/20</f>
        <v>30.017129033044778</v>
      </c>
      <c r="E52" s="43">
        <f>D32*2*3.1416*D$42/20</f>
        <v>42.801025587135484</v>
      </c>
      <c r="F52" s="44">
        <f>(C74/1000)/(E52/10000)</f>
        <v>0</v>
      </c>
      <c r="G52" s="54"/>
      <c r="H52" s="54"/>
      <c r="I52" s="54"/>
      <c r="J52" s="54"/>
      <c r="K52" s="54"/>
      <c r="L52" s="54"/>
      <c r="M52" s="53"/>
      <c r="N52" s="53"/>
      <c r="O52" s="60"/>
      <c r="P52" s="54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85"/>
      <c r="AB52" s="55"/>
      <c r="AC52" s="55"/>
      <c r="AD52" s="55"/>
    </row>
    <row r="53" spans="1:30" s="120" customFormat="1" ht="12" customHeight="1">
      <c r="A53" s="132"/>
      <c r="B53" s="30" t="s">
        <v>38</v>
      </c>
      <c r="C53" s="42" t="str">
        <f>IF(D7=0,"",IF($C$73^4/(8100*($C28*C28/100)^2)&lt;D$40,D$40,$C$73^4/(8100*($C28*D39/100)^2)))</f>
        <v/>
      </c>
      <c r="D53" s="42" t="e">
        <f>C$53*$C$30^2/20</f>
        <v>#VALUE!</v>
      </c>
      <c r="E53" s="43">
        <f>C32*2*3.1416*D$42/20</f>
        <v>0</v>
      </c>
      <c r="F53" s="44" t="str">
        <f>IF(E53=0,"",(C75/1000)/(E53/10000))</f>
        <v/>
      </c>
      <c r="G53" s="54"/>
      <c r="H53" s="54"/>
      <c r="I53" s="54"/>
      <c r="J53" s="54"/>
      <c r="K53" s="54"/>
      <c r="L53" s="54"/>
      <c r="M53" s="53"/>
      <c r="N53" s="53"/>
      <c r="O53" s="60"/>
      <c r="P53" s="54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85"/>
      <c r="AB53" s="55"/>
      <c r="AC53" s="55"/>
      <c r="AD53" s="55"/>
    </row>
    <row r="54" spans="1:30" s="120" customFormat="1" ht="12" customHeight="1">
      <c r="B54" s="30" t="s">
        <v>84</v>
      </c>
      <c r="C54" s="42">
        <f>IF(D20=1,5,5)</f>
        <v>5</v>
      </c>
      <c r="D54" s="54"/>
      <c r="E54" s="54"/>
      <c r="F54" s="54"/>
      <c r="G54" s="54"/>
      <c r="H54" s="54"/>
      <c r="I54" s="54"/>
      <c r="J54" s="54"/>
      <c r="K54" s="54"/>
      <c r="L54" s="54"/>
      <c r="M54" s="53"/>
      <c r="N54" s="53"/>
      <c r="O54" s="60"/>
      <c r="P54" s="54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85"/>
      <c r="AB54" s="55"/>
      <c r="AC54" s="55"/>
      <c r="AD54" s="55"/>
    </row>
    <row r="55" spans="1:30" s="120" customFormat="1" ht="12" customHeight="1">
      <c r="B55" s="30"/>
      <c r="C55" s="37"/>
      <c r="D55" s="54"/>
      <c r="E55" s="54"/>
      <c r="F55" s="54"/>
      <c r="G55" s="54"/>
      <c r="H55" s="54"/>
      <c r="I55" s="54"/>
      <c r="J55" s="54"/>
      <c r="K55" s="54"/>
      <c r="L55" s="54"/>
      <c r="M55" s="53"/>
      <c r="N55" s="53"/>
      <c r="O55" s="60"/>
      <c r="P55" s="54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85"/>
      <c r="AB55" s="55"/>
      <c r="AC55" s="55"/>
      <c r="AD55" s="55"/>
    </row>
    <row r="56" spans="1:30" s="120" customFormat="1" ht="12" customHeight="1"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41"/>
      <c r="N56" s="41"/>
      <c r="O56" s="60"/>
      <c r="P56" s="54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85"/>
      <c r="AB56" s="55"/>
      <c r="AC56" s="55"/>
      <c r="AD56" s="55"/>
    </row>
    <row r="57" spans="1:30" s="120" customFormat="1" ht="12" customHeight="1">
      <c r="B57" s="61"/>
      <c r="C57" s="55"/>
      <c r="D57" s="55"/>
      <c r="E57" s="55"/>
      <c r="F57" s="55"/>
      <c r="G57" s="41"/>
      <c r="H57" s="41"/>
      <c r="I57" s="41"/>
      <c r="J57" s="41"/>
      <c r="K57" s="41"/>
      <c r="L57" s="41"/>
      <c r="M57" s="41"/>
      <c r="N57" s="41"/>
      <c r="O57" s="60"/>
      <c r="P57" s="54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85"/>
      <c r="AB57" s="55"/>
      <c r="AC57" s="55"/>
      <c r="AD57" s="55"/>
    </row>
    <row r="58" spans="1:30" s="120" customFormat="1">
      <c r="B58" s="61"/>
      <c r="C58" s="55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60"/>
      <c r="P58" s="54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85"/>
      <c r="AB58" s="55"/>
      <c r="AC58" s="55"/>
      <c r="AD58" s="55"/>
    </row>
    <row r="59" spans="1:30" s="120" customFormat="1">
      <c r="B59" s="61"/>
      <c r="C59" s="55"/>
      <c r="D59" s="55"/>
      <c r="E59" s="55"/>
      <c r="F59" s="55"/>
      <c r="G59" s="41"/>
      <c r="H59" s="41"/>
      <c r="I59" s="41"/>
      <c r="J59" s="41"/>
      <c r="K59" s="41"/>
      <c r="L59" s="41"/>
      <c r="M59" s="41"/>
      <c r="N59" s="41"/>
      <c r="O59" s="60"/>
      <c r="P59" s="54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85"/>
      <c r="AB59" s="55"/>
      <c r="AC59" s="55"/>
      <c r="AD59" s="55"/>
    </row>
    <row r="60" spans="1:30" s="120" customFormat="1">
      <c r="B60" s="61"/>
      <c r="C60" s="55"/>
      <c r="D60" s="55"/>
      <c r="E60" s="55"/>
      <c r="F60" s="55"/>
      <c r="G60" s="41"/>
      <c r="H60" s="41"/>
      <c r="I60" s="41"/>
      <c r="J60" s="41"/>
      <c r="K60" s="41"/>
      <c r="L60" s="41"/>
      <c r="M60" s="41"/>
      <c r="N60" s="41"/>
      <c r="O60" s="60"/>
      <c r="P60" s="54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85"/>
      <c r="AB60" s="55"/>
      <c r="AC60" s="55"/>
      <c r="AD60" s="55"/>
    </row>
    <row r="61" spans="1:30" s="120" customFormat="1">
      <c r="B61" s="61"/>
      <c r="C61" s="55"/>
      <c r="D61" s="55"/>
      <c r="E61" s="55"/>
      <c r="F61" s="55"/>
      <c r="G61" s="41"/>
      <c r="H61" s="41"/>
      <c r="I61" s="41"/>
      <c r="J61" s="41"/>
      <c r="K61" s="41"/>
      <c r="L61" s="41"/>
      <c r="M61" s="41"/>
      <c r="N61" s="41"/>
      <c r="O61" s="60"/>
      <c r="P61" s="54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85"/>
      <c r="AB61" s="55"/>
      <c r="AC61" s="55"/>
      <c r="AD61" s="55"/>
    </row>
    <row r="62" spans="1:30" s="55" customFormat="1">
      <c r="B62" s="61"/>
      <c r="G62" s="41"/>
      <c r="H62" s="41"/>
      <c r="I62" s="41"/>
      <c r="J62" s="41"/>
      <c r="K62" s="41"/>
      <c r="L62" s="41"/>
      <c r="M62" s="41"/>
      <c r="N62" s="41"/>
      <c r="O62" s="60"/>
      <c r="P62" s="54"/>
      <c r="AA62" s="85"/>
    </row>
    <row r="63" spans="1:30" s="55" customFormat="1">
      <c r="B63" s="61"/>
      <c r="G63" s="41"/>
      <c r="H63" s="41"/>
      <c r="I63" s="41"/>
      <c r="J63" s="41"/>
      <c r="K63" s="41"/>
      <c r="L63" s="41"/>
      <c r="M63" s="41"/>
      <c r="N63" s="41"/>
      <c r="O63" s="60"/>
      <c r="P63" s="54"/>
      <c r="AA63" s="85"/>
    </row>
    <row r="64" spans="1:30" s="55" customFormat="1">
      <c r="B64" s="61"/>
      <c r="G64" s="41"/>
      <c r="H64" s="41"/>
      <c r="I64" s="41"/>
      <c r="J64" s="41"/>
      <c r="K64" s="41"/>
      <c r="L64" s="41"/>
      <c r="M64" s="41"/>
      <c r="N64" s="41"/>
      <c r="O64" s="60"/>
      <c r="P64" s="54"/>
      <c r="AA64" s="85"/>
    </row>
    <row r="65" spans="2:30" s="55" customFormat="1">
      <c r="B65" s="61"/>
      <c r="G65" s="41"/>
      <c r="H65" s="41"/>
      <c r="I65" s="41"/>
      <c r="J65" s="41"/>
      <c r="K65" s="41"/>
      <c r="L65" s="41"/>
      <c r="M65" s="41"/>
      <c r="N65" s="41"/>
      <c r="O65" s="60"/>
      <c r="P65" s="54"/>
      <c r="AA65" s="85"/>
    </row>
    <row r="66" spans="2:30" s="55" customFormat="1">
      <c r="B66" s="61"/>
      <c r="G66" s="41"/>
      <c r="H66" s="41"/>
      <c r="I66" s="41"/>
      <c r="J66" s="41"/>
      <c r="K66" s="41"/>
      <c r="L66" s="41"/>
      <c r="M66" s="41"/>
      <c r="N66" s="41"/>
      <c r="O66" s="60"/>
      <c r="P66" s="54"/>
      <c r="AA66" s="85"/>
    </row>
    <row r="67" spans="2:30" s="55" customFormat="1">
      <c r="B67" s="61"/>
      <c r="G67" s="41"/>
      <c r="H67" s="41"/>
      <c r="I67" s="41"/>
      <c r="J67" s="41"/>
      <c r="K67" s="41"/>
      <c r="L67" s="41"/>
      <c r="M67" s="41"/>
      <c r="N67" s="41"/>
      <c r="O67" s="60"/>
      <c r="P67" s="54"/>
      <c r="AA67" s="85"/>
    </row>
    <row r="68" spans="2:30" s="55" customFormat="1">
      <c r="B68" s="61"/>
      <c r="G68" s="41"/>
      <c r="H68" s="41"/>
      <c r="I68" s="41"/>
      <c r="J68" s="41"/>
      <c r="K68" s="41"/>
      <c r="L68" s="41"/>
      <c r="M68" s="41"/>
      <c r="N68" s="41"/>
      <c r="O68" s="60"/>
      <c r="P68" s="54"/>
      <c r="AA68" s="85"/>
    </row>
    <row r="69" spans="2:30" s="55" customFormat="1">
      <c r="B69" s="100" t="s">
        <v>81</v>
      </c>
      <c r="C69" s="201">
        <f>IF($D$6=1,$D$10,$D$10/10.19)</f>
        <v>6</v>
      </c>
      <c r="G69" s="41"/>
      <c r="H69" s="41"/>
      <c r="I69" s="41"/>
      <c r="J69" s="41"/>
      <c r="K69" s="41"/>
      <c r="L69" s="41"/>
      <c r="M69" s="41"/>
      <c r="N69" s="41"/>
      <c r="O69" s="60"/>
      <c r="P69" s="54"/>
      <c r="AA69" s="85"/>
    </row>
    <row r="70" spans="2:30" s="62" customFormat="1">
      <c r="B70" s="100" t="s">
        <v>89</v>
      </c>
      <c r="C70" s="201">
        <f>IF($D$6=1,$D$9,$D$9/10.19)</f>
        <v>6</v>
      </c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1"/>
      <c r="P70" s="100"/>
      <c r="AA70" s="102"/>
    </row>
    <row r="71" spans="2:30" s="62" customFormat="1">
      <c r="B71" s="100" t="s">
        <v>82</v>
      </c>
      <c r="C71" s="201">
        <f>IF($D$6=1,$D$11,$D$11/10.19)</f>
        <v>3</v>
      </c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1"/>
      <c r="P71" s="100"/>
      <c r="AA71" s="102"/>
    </row>
    <row r="72" spans="2:30" s="62" customFormat="1">
      <c r="B72" s="100" t="s">
        <v>88</v>
      </c>
      <c r="C72" s="201">
        <f>C70-C71</f>
        <v>3</v>
      </c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1"/>
      <c r="P72" s="100"/>
      <c r="AA72" s="102"/>
    </row>
    <row r="73" spans="2:30" s="62" customFormat="1">
      <c r="B73" s="100" t="s">
        <v>65</v>
      </c>
      <c r="C73" s="103">
        <f>$D$21</f>
        <v>50</v>
      </c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1"/>
      <c r="P73" s="100"/>
      <c r="AA73" s="102"/>
      <c r="AB73" s="62" t="s">
        <v>47</v>
      </c>
    </row>
    <row r="74" spans="2:30" s="62" customFormat="1" ht="13.5">
      <c r="B74" s="100" t="s">
        <v>63</v>
      </c>
      <c r="C74" s="100">
        <f>IF(D5=1,D7,IF(D5=2,(D7/3.6001),D7/60))</f>
        <v>0</v>
      </c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1" t="s">
        <v>47</v>
      </c>
      <c r="P74" s="104"/>
      <c r="Q74" s="104"/>
      <c r="R74" s="104"/>
      <c r="U74" s="62" t="e">
        <f>VLOOKUP(1,AB79:AC115,2)</f>
        <v>#N/A</v>
      </c>
      <c r="AA74" s="102"/>
      <c r="AB74" s="62" t="e">
        <f>VLOOKUP("good",AB79:AB115,"good",-1)</f>
        <v>#VALUE!</v>
      </c>
    </row>
    <row r="75" spans="2:30" s="62" customFormat="1" ht="13.5">
      <c r="B75" s="100" t="s">
        <v>62</v>
      </c>
      <c r="C75" s="100">
        <f>IF(D5=1,D8,IF(D5=2,(D8/3.6001),D8/60))</f>
        <v>3</v>
      </c>
      <c r="D75" s="100" t="s">
        <v>19</v>
      </c>
      <c r="E75" s="100" t="s">
        <v>20</v>
      </c>
      <c r="F75" s="100" t="s">
        <v>21</v>
      </c>
      <c r="G75" s="100" t="s">
        <v>22</v>
      </c>
      <c r="H75" s="100" t="s">
        <v>23</v>
      </c>
      <c r="I75" s="100" t="s">
        <v>24</v>
      </c>
      <c r="J75" s="100"/>
      <c r="K75" s="105" t="s">
        <v>6</v>
      </c>
      <c r="L75" s="100" t="s">
        <v>25</v>
      </c>
      <c r="M75" s="100" t="s">
        <v>8</v>
      </c>
      <c r="N75" s="100"/>
      <c r="O75" s="101" t="s">
        <v>4</v>
      </c>
      <c r="P75" s="104"/>
      <c r="Q75" s="104"/>
      <c r="R75" s="104"/>
      <c r="AA75" s="102"/>
    </row>
    <row r="76" spans="2:30" s="62" customFormat="1" ht="13.5">
      <c r="B76" s="100" t="s">
        <v>26</v>
      </c>
      <c r="C76" s="103">
        <f>IF($D$39&lt;&gt;"Non disp.",VLOOKUP($D$20*10000+$D$19*1000+$C$73,_xlnm.Criteria,2),"Non disp.")</f>
        <v>9</v>
      </c>
      <c r="D76" s="106">
        <f>IF($D$39&lt;&gt;"Non disp.",VLOOKUP($D$20*10000+$D$19*1000+$C$73,_xlnm.Criteria,3),"Non disp.")</f>
        <v>3.2890000000000001</v>
      </c>
      <c r="E76" s="106">
        <f>IF($D$39&lt;&gt;"Non disp.",VLOOKUP($D$20*10000+$D$19*1000+$C$73,_xlnm.Criteria,4),"Non disp.")</f>
        <v>-11.948</v>
      </c>
      <c r="F76" s="106">
        <f>IF($D$39&lt;&gt;"Non disp.",VLOOKUP($D$20*10000+$D$19*1000+$C$73,_xlnm.Criteria,5),"Non disp.")</f>
        <v>25.518999999999998</v>
      </c>
      <c r="G76" s="106">
        <f>IF($D$39&lt;&gt;"Non disp.",VLOOKUP($D$20*10000+$D$19*1000+$C$73,_xlnm.Criteria,6),"Non disp.")</f>
        <v>-24.878</v>
      </c>
      <c r="H76" s="106">
        <f>IF($D$39&lt;&gt;"Non disp.",VLOOKUP($D$20*10000+$D$19*1000+$C$73,_xlnm.Criteria,7),"Non disp.")</f>
        <v>9.0210000000000008</v>
      </c>
      <c r="I76" s="106" t="str">
        <f>IF($D$39&lt;&gt;"Non disp.",VLOOKUP($D$20*10000+$D$19*1000+$C$73,_xlnm.Criteria,8),"Non disp.")</f>
        <v>Extrapolation</v>
      </c>
      <c r="J76" s="106"/>
      <c r="K76" s="105"/>
      <c r="L76" s="106">
        <f>IF($D$39&lt;&gt;"Non disp.",VLOOKUP($D$20*10000+$D$19*1000+$C$73,_xlnm.Criteria,11),"Non disp.")</f>
        <v>7.4999999999999997E-2</v>
      </c>
      <c r="M76" s="100">
        <f>IF($D$39&lt;&gt;"Non disp.",VLOOKUP($D$20*10000+$D$19*1000+$C$73,_xlnm.Criteria,12),"Non disp.")</f>
        <v>10</v>
      </c>
      <c r="N76" s="100"/>
      <c r="O76" s="103">
        <f>IF($D$39&lt;&gt;"Non disp.",VLOOKUP($D$20*10000+$D$19*1000+$C$73,_xlnm.Criteria,14),"Non disp.")</f>
        <v>40</v>
      </c>
      <c r="P76" s="104" t="s">
        <v>27</v>
      </c>
      <c r="Q76" s="104"/>
      <c r="R76" s="104"/>
      <c r="AA76" s="102"/>
      <c r="AB76" s="63" t="s">
        <v>47</v>
      </c>
    </row>
    <row r="77" spans="2:30" s="62" customFormat="1" ht="13.5">
      <c r="B77" s="100"/>
      <c r="C77" s="100"/>
      <c r="D77" s="100"/>
      <c r="E77" s="100"/>
      <c r="F77" s="100"/>
      <c r="G77" s="100"/>
      <c r="H77" s="100"/>
      <c r="I77" s="100"/>
      <c r="J77" s="100"/>
      <c r="K77" s="105"/>
      <c r="L77" s="100"/>
      <c r="M77" s="100"/>
      <c r="N77" s="100"/>
      <c r="O77" s="101"/>
      <c r="P77" s="104" t="s">
        <v>5</v>
      </c>
      <c r="Q77" s="104" t="s">
        <v>28</v>
      </c>
      <c r="R77" s="104" t="s">
        <v>29</v>
      </c>
      <c r="T77" s="63" t="s">
        <v>49</v>
      </c>
      <c r="U77" s="65" t="s">
        <v>53</v>
      </c>
      <c r="V77" s="65" t="s">
        <v>55</v>
      </c>
      <c r="W77" s="65" t="s">
        <v>56</v>
      </c>
      <c r="X77" s="65" t="s">
        <v>57</v>
      </c>
      <c r="Y77" s="65" t="s">
        <v>48</v>
      </c>
      <c r="Z77" s="65" t="s">
        <v>44</v>
      </c>
      <c r="AA77" s="107" t="s">
        <v>50</v>
      </c>
      <c r="AB77" s="64" t="s">
        <v>59</v>
      </c>
      <c r="AC77" s="63" t="e">
        <f>VLOOKUP(700,AC99:AD115,1)</f>
        <v>#N/A</v>
      </c>
      <c r="AD77" s="63">
        <v>2</v>
      </c>
    </row>
    <row r="78" spans="2:30" s="62" customFormat="1" ht="13.5">
      <c r="B78" s="108" t="s">
        <v>30</v>
      </c>
      <c r="C78" s="108" t="s">
        <v>31</v>
      </c>
      <c r="D78" s="108" t="s">
        <v>19</v>
      </c>
      <c r="E78" s="108" t="s">
        <v>20</v>
      </c>
      <c r="F78" s="108" t="s">
        <v>21</v>
      </c>
      <c r="G78" s="108" t="s">
        <v>22</v>
      </c>
      <c r="H78" s="108" t="s">
        <v>23</v>
      </c>
      <c r="I78" s="108" t="s">
        <v>24</v>
      </c>
      <c r="J78" s="108"/>
      <c r="K78" s="109" t="s">
        <v>6</v>
      </c>
      <c r="L78" s="108" t="s">
        <v>25</v>
      </c>
      <c r="M78" s="108" t="s">
        <v>8</v>
      </c>
      <c r="N78" s="108"/>
      <c r="O78" s="110" t="s">
        <v>4</v>
      </c>
      <c r="P78" s="111">
        <v>0</v>
      </c>
      <c r="Q78" s="111">
        <v>0</v>
      </c>
      <c r="R78" s="111">
        <f t="shared" ref="R78:R141" si="0">IF(Q78&gt;=C$29,IF(Q78&lt;=D$29,Q78," ")," ")</f>
        <v>0</v>
      </c>
      <c r="S78" s="62">
        <v>70</v>
      </c>
      <c r="U78" s="65" t="s">
        <v>54</v>
      </c>
      <c r="V78" s="65" t="s">
        <v>54</v>
      </c>
      <c r="W78" s="65" t="s">
        <v>54</v>
      </c>
      <c r="X78" s="65" t="s">
        <v>54</v>
      </c>
      <c r="Y78" s="65" t="s">
        <v>51</v>
      </c>
      <c r="Z78" s="65"/>
      <c r="AA78" s="107" t="s">
        <v>52</v>
      </c>
      <c r="AB78" s="64" t="s">
        <v>58</v>
      </c>
      <c r="AC78" s="63" t="e">
        <f>VLOOKUP(700,AC79:AD90,1)</f>
        <v>#N/A</v>
      </c>
      <c r="AD78" s="63" t="e">
        <f>VLOOKUP(700,AC79:AD90,2)</f>
        <v>#N/A</v>
      </c>
    </row>
    <row r="79" spans="2:30" s="62" customFormat="1" ht="15.75">
      <c r="B79" s="108">
        <v>11032</v>
      </c>
      <c r="C79" s="108">
        <v>7.2</v>
      </c>
      <c r="D79" s="112">
        <v>3.0659999999999998</v>
      </c>
      <c r="E79" s="112">
        <v>-10.597</v>
      </c>
      <c r="F79" s="112">
        <v>22.399000000000001</v>
      </c>
      <c r="G79" s="112">
        <v>-22.629000000000001</v>
      </c>
      <c r="H79" s="112">
        <v>8.7629999999999999</v>
      </c>
      <c r="I79" s="108" t="s">
        <v>32</v>
      </c>
      <c r="J79" s="108"/>
      <c r="K79" s="113">
        <f t="shared" ref="K79:K127" si="1">(B79-1000*(TRUNC(B79/1000)))^4/(8100*C79^2)</f>
        <v>2.4971803078798964</v>
      </c>
      <c r="L79" s="108">
        <v>7.4999999999999997E-2</v>
      </c>
      <c r="M79" s="114">
        <v>10</v>
      </c>
      <c r="N79" s="114"/>
      <c r="O79" s="110">
        <v>32</v>
      </c>
      <c r="P79" s="111">
        <f t="shared" ref="P79:P142" si="2">P78+1</f>
        <v>1</v>
      </c>
      <c r="Q79" s="111">
        <f t="shared" ref="Q79:Q142" si="3">100*(D$76*(P79/100)+E$76*(P79/100)^2+F$76*(P79/100)^3+G$76*(P79/100)^4+H$76*(P79/100)^5)</f>
        <v>3.1720471122099996</v>
      </c>
      <c r="R79" s="111">
        <f t="shared" si="0"/>
        <v>3.1720471122099996</v>
      </c>
      <c r="S79" s="62">
        <v>70</v>
      </c>
      <c r="T79" s="115">
        <v>32</v>
      </c>
      <c r="U79" s="116">
        <f t="shared" ref="U79:U115" si="4">100*($C$75/($C$70-$C$71)^0.5)/C79</f>
        <v>24.056261216234411</v>
      </c>
      <c r="V79" s="42">
        <f t="shared" ref="V79:V115" si="5">100*(D79*(U79/100)^1+E79*(U79/100)^2+F79*(U79/100)^3+G79*(U79/100)^4+H79*(U79/100)^5)</f>
        <v>36.741491002587921</v>
      </c>
      <c r="W79" s="116">
        <f t="shared" ref="W79:W115" si="6">100*($C$74/($C$69-$C$71)^0.5)/C79</f>
        <v>0</v>
      </c>
      <c r="X79" s="42">
        <f t="shared" ref="X79:X115" si="7">100*(D79*(W79/100)^1+E79*(W79/100)^2+F79*(W79/100)^3+G79*(W79/100)^4+H79*(W79/100)^5)</f>
        <v>0</v>
      </c>
      <c r="Y79" s="44">
        <f>($C$75/1000)/(3.1418*(32/2000)^2)</f>
        <v>3.7299478006238465</v>
      </c>
      <c r="Z79" s="117">
        <f t="shared" ref="Z79:Z115" si="8">T79^4/(8100*C79^2)</f>
        <v>2.4971803078798964</v>
      </c>
      <c r="AA79" s="44">
        <f t="shared" ref="AA79:AA115" si="9">Z79*((Y79^2)/(2*9.81))</f>
        <v>1.7707465592227332</v>
      </c>
      <c r="AB79" s="65">
        <f t="shared" ref="AB79:AB115" si="10">IF(V79&lt;=70,IF(Y79&lt;=5,V79," ")," ")</f>
        <v>36.741491002587921</v>
      </c>
      <c r="AC79" s="62" t="str">
        <f t="shared" ref="AC79:AC115" si="11">IF(AB79="good",T79,"*")</f>
        <v>*</v>
      </c>
      <c r="AD79" s="62">
        <v>1</v>
      </c>
    </row>
    <row r="80" spans="2:30" s="62" customFormat="1" ht="15.75">
      <c r="B80" s="108">
        <v>11040</v>
      </c>
      <c r="C80" s="108">
        <v>7.7</v>
      </c>
      <c r="D80" s="112">
        <v>3.0659999999999998</v>
      </c>
      <c r="E80" s="112">
        <v>-10.597</v>
      </c>
      <c r="F80" s="112">
        <v>22.399000000000001</v>
      </c>
      <c r="G80" s="112">
        <v>-22.629000000000001</v>
      </c>
      <c r="H80" s="112">
        <v>8.7629999999999999</v>
      </c>
      <c r="I80" s="108" t="s">
        <v>32</v>
      </c>
      <c r="J80" s="108"/>
      <c r="K80" s="113">
        <f t="shared" si="1"/>
        <v>5.3305681011308712</v>
      </c>
      <c r="L80" s="108">
        <v>7.4999999999999997E-2</v>
      </c>
      <c r="M80" s="108">
        <v>10</v>
      </c>
      <c r="N80" s="108"/>
      <c r="O80" s="110">
        <v>40</v>
      </c>
      <c r="P80" s="111">
        <f t="shared" si="2"/>
        <v>2</v>
      </c>
      <c r="Q80" s="111">
        <f t="shared" si="3"/>
        <v>6.1201000387200004</v>
      </c>
      <c r="R80" s="111">
        <f t="shared" si="0"/>
        <v>6.1201000387200004</v>
      </c>
      <c r="S80" s="62">
        <v>70</v>
      </c>
      <c r="T80" s="115">
        <v>40</v>
      </c>
      <c r="U80" s="116">
        <f t="shared" si="4"/>
        <v>22.494166332063344</v>
      </c>
      <c r="V80" s="42">
        <f t="shared" si="5"/>
        <v>35.552748589782659</v>
      </c>
      <c r="W80" s="116">
        <f t="shared" si="6"/>
        <v>0</v>
      </c>
      <c r="X80" s="42">
        <f t="shared" si="7"/>
        <v>0</v>
      </c>
      <c r="Y80" s="44">
        <f>($C$75/1000)/(3.1418*(40/2000)^2)</f>
        <v>2.3871665923992618</v>
      </c>
      <c r="Z80" s="117">
        <f t="shared" si="8"/>
        <v>5.3305681011308712</v>
      </c>
      <c r="AA80" s="44">
        <f t="shared" si="9"/>
        <v>1.5482459374280062</v>
      </c>
      <c r="AB80" s="65">
        <f t="shared" si="10"/>
        <v>35.552748589782659</v>
      </c>
      <c r="AC80" s="62" t="str">
        <f t="shared" si="11"/>
        <v>*</v>
      </c>
      <c r="AD80" s="62">
        <v>1</v>
      </c>
    </row>
    <row r="81" spans="2:30" s="62" customFormat="1" ht="15.75">
      <c r="B81" s="108">
        <v>11050</v>
      </c>
      <c r="C81" s="108">
        <v>13</v>
      </c>
      <c r="D81" s="112">
        <v>3.0659999999999998</v>
      </c>
      <c r="E81" s="112">
        <v>-10.597</v>
      </c>
      <c r="F81" s="112">
        <v>22.399000000000001</v>
      </c>
      <c r="G81" s="112">
        <v>-22.629000000000001</v>
      </c>
      <c r="H81" s="112">
        <v>8.7629999999999999</v>
      </c>
      <c r="I81" s="108" t="s">
        <v>33</v>
      </c>
      <c r="J81" s="108"/>
      <c r="K81" s="113">
        <f t="shared" si="1"/>
        <v>4.5657096939148225</v>
      </c>
      <c r="L81" s="108">
        <v>0.12</v>
      </c>
      <c r="M81" s="108">
        <v>15</v>
      </c>
      <c r="N81" s="108"/>
      <c r="O81" s="110">
        <v>50</v>
      </c>
      <c r="P81" s="111">
        <f t="shared" si="2"/>
        <v>3</v>
      </c>
      <c r="Q81" s="111">
        <f t="shared" si="3"/>
        <v>8.8585881030299998</v>
      </c>
      <c r="R81" s="111">
        <f t="shared" si="0"/>
        <v>8.8585881030299998</v>
      </c>
      <c r="S81" s="62">
        <v>70</v>
      </c>
      <c r="T81" s="115">
        <v>50</v>
      </c>
      <c r="U81" s="116">
        <f t="shared" si="4"/>
        <v>13.323467750529828</v>
      </c>
      <c r="V81" s="42">
        <f t="shared" si="5"/>
        <v>26.65984229791345</v>
      </c>
      <c r="W81" s="116">
        <f t="shared" si="6"/>
        <v>0</v>
      </c>
      <c r="X81" s="42">
        <f t="shared" si="7"/>
        <v>0</v>
      </c>
      <c r="Y81" s="44">
        <f>($C$75/1000)/(3.1418*(50/2000)^2)</f>
        <v>1.5277866191355269</v>
      </c>
      <c r="Z81" s="117">
        <f t="shared" si="8"/>
        <v>4.5657096939148225</v>
      </c>
      <c r="AA81" s="44">
        <f t="shared" si="9"/>
        <v>0.54316864869885451</v>
      </c>
      <c r="AB81" s="65">
        <f t="shared" si="10"/>
        <v>26.65984229791345</v>
      </c>
      <c r="AC81" s="62" t="str">
        <f t="shared" si="11"/>
        <v>*</v>
      </c>
      <c r="AD81" s="62">
        <v>1</v>
      </c>
    </row>
    <row r="82" spans="2:30" s="62" customFormat="1" ht="15.75">
      <c r="B82" s="108">
        <v>11065</v>
      </c>
      <c r="C82" s="108">
        <v>20</v>
      </c>
      <c r="D82" s="112">
        <v>2.8330000000000002</v>
      </c>
      <c r="E82" s="112">
        <v>-8.6010000000000009</v>
      </c>
      <c r="F82" s="112">
        <v>15.932</v>
      </c>
      <c r="G82" s="112">
        <v>-13.823</v>
      </c>
      <c r="H82" s="112">
        <v>4.6619999999999999</v>
      </c>
      <c r="I82" s="108" t="s">
        <v>33</v>
      </c>
      <c r="J82" s="108"/>
      <c r="K82" s="113">
        <f t="shared" si="1"/>
        <v>5.5094521604938276</v>
      </c>
      <c r="L82" s="108">
        <v>0.16</v>
      </c>
      <c r="M82" s="108">
        <v>18</v>
      </c>
      <c r="N82" s="108"/>
      <c r="O82" s="110">
        <v>65</v>
      </c>
      <c r="P82" s="111">
        <f t="shared" si="2"/>
        <v>4</v>
      </c>
      <c r="Q82" s="111">
        <f t="shared" si="3"/>
        <v>11.401365207040003</v>
      </c>
      <c r="R82" s="111">
        <f t="shared" si="0"/>
        <v>11.401365207040003</v>
      </c>
      <c r="S82" s="62">
        <v>70</v>
      </c>
      <c r="T82" s="115">
        <v>65</v>
      </c>
      <c r="U82" s="116">
        <f t="shared" si="4"/>
        <v>8.6602540378443873</v>
      </c>
      <c r="V82" s="42">
        <f t="shared" si="5"/>
        <v>19.043080112563423</v>
      </c>
      <c r="W82" s="116">
        <f t="shared" si="6"/>
        <v>0</v>
      </c>
      <c r="X82" s="42">
        <f t="shared" si="7"/>
        <v>0</v>
      </c>
      <c r="Y82" s="44">
        <f>($C$75/1000)/(3.1418*(65/2000)^2)</f>
        <v>0.90401575096776765</v>
      </c>
      <c r="Z82" s="117">
        <f t="shared" si="8"/>
        <v>5.5094521604938276</v>
      </c>
      <c r="AA82" s="44">
        <f t="shared" si="9"/>
        <v>0.22948875407526617</v>
      </c>
      <c r="AB82" s="65">
        <f t="shared" si="10"/>
        <v>19.043080112563423</v>
      </c>
      <c r="AC82" s="62" t="str">
        <f t="shared" si="11"/>
        <v>*</v>
      </c>
      <c r="AD82" s="62">
        <v>1</v>
      </c>
    </row>
    <row r="83" spans="2:30" s="62" customFormat="1" ht="15.75">
      <c r="B83" s="108">
        <v>11080</v>
      </c>
      <c r="C83" s="108">
        <v>28</v>
      </c>
      <c r="D83" s="112">
        <v>3.5209999999999999</v>
      </c>
      <c r="E83" s="112">
        <v>-14.369</v>
      </c>
      <c r="F83" s="112">
        <v>32.14</v>
      </c>
      <c r="G83" s="112">
        <v>-32.811</v>
      </c>
      <c r="H83" s="112">
        <v>12.52</v>
      </c>
      <c r="I83" s="108" t="s">
        <v>33</v>
      </c>
      <c r="J83" s="108"/>
      <c r="K83" s="113">
        <f t="shared" si="1"/>
        <v>6.4499874023683548</v>
      </c>
      <c r="L83" s="108">
        <v>0.3</v>
      </c>
      <c r="M83" s="108">
        <v>20</v>
      </c>
      <c r="N83" s="108"/>
      <c r="O83" s="110">
        <v>80</v>
      </c>
      <c r="P83" s="111">
        <f t="shared" si="2"/>
        <v>5</v>
      </c>
      <c r="Q83" s="111">
        <f t="shared" si="3"/>
        <v>13.761720656250001</v>
      </c>
      <c r="R83" s="111">
        <f t="shared" si="0"/>
        <v>13.761720656250001</v>
      </c>
      <c r="S83" s="62">
        <v>70</v>
      </c>
      <c r="T83" s="115">
        <v>80</v>
      </c>
      <c r="U83" s="116">
        <f t="shared" si="4"/>
        <v>6.1858957413174194</v>
      </c>
      <c r="V83" s="42">
        <f t="shared" si="5"/>
        <v>16.996058603280247</v>
      </c>
      <c r="W83" s="116">
        <f t="shared" si="6"/>
        <v>0</v>
      </c>
      <c r="X83" s="42">
        <f t="shared" si="7"/>
        <v>0</v>
      </c>
      <c r="Y83" s="44">
        <f>($C$75/1000)/(3.1418*(80/2000)^2)</f>
        <v>0.59679164809981544</v>
      </c>
      <c r="Z83" s="117">
        <f t="shared" si="8"/>
        <v>6.4499874023683548</v>
      </c>
      <c r="AA83" s="44">
        <f t="shared" si="9"/>
        <v>0.11708609901799298</v>
      </c>
      <c r="AB83" s="65">
        <f t="shared" si="10"/>
        <v>16.996058603280247</v>
      </c>
      <c r="AC83" s="62" t="str">
        <f t="shared" si="11"/>
        <v>*</v>
      </c>
      <c r="AD83" s="62">
        <v>1</v>
      </c>
    </row>
    <row r="84" spans="2:30" s="62" customFormat="1" ht="15.75">
      <c r="B84" s="108">
        <v>11100</v>
      </c>
      <c r="C84" s="108">
        <v>48</v>
      </c>
      <c r="D84" s="112">
        <v>3.5680000000000001</v>
      </c>
      <c r="E84" s="112">
        <v>-17.024999999999999</v>
      </c>
      <c r="F84" s="112">
        <v>42.238999999999997</v>
      </c>
      <c r="G84" s="112">
        <v>-46.984999999999999</v>
      </c>
      <c r="H84" s="112">
        <v>19.202999999999999</v>
      </c>
      <c r="I84" s="108" t="s">
        <v>33</v>
      </c>
      <c r="J84" s="108"/>
      <c r="K84" s="113">
        <f t="shared" si="1"/>
        <v>5.3583676268861451</v>
      </c>
      <c r="L84" s="108">
        <v>0.64</v>
      </c>
      <c r="M84" s="108">
        <v>28</v>
      </c>
      <c r="N84" s="108"/>
      <c r="O84" s="110">
        <v>100</v>
      </c>
      <c r="P84" s="111">
        <f t="shared" si="2"/>
        <v>6</v>
      </c>
      <c r="Q84" s="111">
        <f t="shared" si="3"/>
        <v>15.952389984959996</v>
      </c>
      <c r="R84" s="111">
        <f t="shared" si="0"/>
        <v>15.952389984959996</v>
      </c>
      <c r="S84" s="62">
        <v>70</v>
      </c>
      <c r="T84" s="115">
        <v>100</v>
      </c>
      <c r="U84" s="116">
        <f t="shared" si="4"/>
        <v>3.6084391824351614</v>
      </c>
      <c r="V84" s="42">
        <f t="shared" si="5"/>
        <v>10.848725129439384</v>
      </c>
      <c r="W84" s="116">
        <f t="shared" si="6"/>
        <v>0</v>
      </c>
      <c r="X84" s="42">
        <f t="shared" si="7"/>
        <v>0</v>
      </c>
      <c r="Y84" s="44">
        <f>($C$75/1000)/(3.1418*(100/2000)^2)</f>
        <v>0.38194665478388173</v>
      </c>
      <c r="Z84" s="117">
        <f t="shared" si="8"/>
        <v>5.3583676268861451</v>
      </c>
      <c r="AA84" s="44">
        <f t="shared" si="9"/>
        <v>3.9841797582511461E-2</v>
      </c>
      <c r="AB84" s="65">
        <f t="shared" si="10"/>
        <v>10.848725129439384</v>
      </c>
      <c r="AC84" s="62" t="str">
        <f t="shared" si="11"/>
        <v>*</v>
      </c>
      <c r="AD84" s="62">
        <v>1</v>
      </c>
    </row>
    <row r="85" spans="2:30" s="62" customFormat="1" ht="15.75">
      <c r="B85" s="108">
        <v>11150</v>
      </c>
      <c r="C85" s="108">
        <v>111</v>
      </c>
      <c r="D85" s="112">
        <v>3.8279999999999998</v>
      </c>
      <c r="E85" s="112">
        <v>-17.004000000000001</v>
      </c>
      <c r="F85" s="112">
        <v>39.752000000000002</v>
      </c>
      <c r="G85" s="112">
        <v>-42.219000000000001</v>
      </c>
      <c r="H85" s="112">
        <v>16.643999999999998</v>
      </c>
      <c r="I85" s="108" t="s">
        <v>33</v>
      </c>
      <c r="J85" s="108"/>
      <c r="K85" s="113">
        <f t="shared" si="1"/>
        <v>5.0726402077753425</v>
      </c>
      <c r="L85" s="108">
        <v>2</v>
      </c>
      <c r="M85" s="108">
        <v>43</v>
      </c>
      <c r="N85" s="108"/>
      <c r="O85" s="110">
        <v>150</v>
      </c>
      <c r="P85" s="111">
        <f t="shared" si="2"/>
        <v>7</v>
      </c>
      <c r="Q85" s="111">
        <f t="shared" si="3"/>
        <v>17.985565781470005</v>
      </c>
      <c r="R85" s="111">
        <f t="shared" si="0"/>
        <v>17.985565781470005</v>
      </c>
      <c r="S85" s="62">
        <v>70</v>
      </c>
      <c r="T85" s="115">
        <v>150</v>
      </c>
      <c r="U85" s="116">
        <f t="shared" si="4"/>
        <v>1.5604061329449348</v>
      </c>
      <c r="V85" s="42">
        <f t="shared" si="5"/>
        <v>5.5740643851339877</v>
      </c>
      <c r="W85" s="116">
        <f t="shared" si="6"/>
        <v>0</v>
      </c>
      <c r="X85" s="42">
        <f t="shared" si="7"/>
        <v>0</v>
      </c>
      <c r="Y85" s="44">
        <f>($C$75/1000)/(3.1418*(150/2000)^2)</f>
        <v>0.16975406879283642</v>
      </c>
      <c r="Z85" s="117">
        <f t="shared" si="8"/>
        <v>5.0726402077753425</v>
      </c>
      <c r="AA85" s="44">
        <f t="shared" si="9"/>
        <v>7.4503288393885647E-3</v>
      </c>
      <c r="AB85" s="65">
        <f t="shared" si="10"/>
        <v>5.5740643851339877</v>
      </c>
      <c r="AC85" s="62" t="str">
        <f t="shared" si="11"/>
        <v>*</v>
      </c>
      <c r="AD85" s="62">
        <v>1</v>
      </c>
    </row>
    <row r="86" spans="2:30" s="62" customFormat="1" ht="15.75">
      <c r="B86" s="108">
        <v>11200</v>
      </c>
      <c r="C86" s="108">
        <v>185</v>
      </c>
      <c r="D86" s="112">
        <v>3.0390000000000001</v>
      </c>
      <c r="E86" s="112">
        <v>-11.855</v>
      </c>
      <c r="F86" s="112">
        <v>27.024999999999999</v>
      </c>
      <c r="G86" s="112">
        <v>-29.184000000000001</v>
      </c>
      <c r="H86" s="112">
        <v>11.974</v>
      </c>
      <c r="I86" s="108" t="s">
        <v>33</v>
      </c>
      <c r="J86" s="108"/>
      <c r="K86" s="113">
        <f t="shared" si="1"/>
        <v>5.7715373030688344</v>
      </c>
      <c r="L86" s="108">
        <v>4.8</v>
      </c>
      <c r="M86" s="108">
        <v>57</v>
      </c>
      <c r="N86" s="108"/>
      <c r="O86" s="110">
        <v>200</v>
      </c>
      <c r="P86" s="111">
        <f t="shared" si="2"/>
        <v>8</v>
      </c>
      <c r="Q86" s="111">
        <f t="shared" si="3"/>
        <v>19.872908513279999</v>
      </c>
      <c r="R86" s="111">
        <f t="shared" si="0"/>
        <v>19.872908513279999</v>
      </c>
      <c r="S86" s="62">
        <v>70</v>
      </c>
      <c r="T86" s="115">
        <v>200</v>
      </c>
      <c r="U86" s="116">
        <f t="shared" si="4"/>
        <v>0.93624367976696088</v>
      </c>
      <c r="V86" s="42">
        <f t="shared" si="5"/>
        <v>2.7435247901552184</v>
      </c>
      <c r="W86" s="116">
        <f t="shared" si="6"/>
        <v>0</v>
      </c>
      <c r="X86" s="42">
        <f t="shared" si="7"/>
        <v>0</v>
      </c>
      <c r="Y86" s="44">
        <f>($C$75/1000)/(3.1418*(200/2000)^2)</f>
        <v>9.5486663695970433E-2</v>
      </c>
      <c r="Z86" s="117">
        <f t="shared" si="8"/>
        <v>5.7715373030688344</v>
      </c>
      <c r="AA86" s="44">
        <f t="shared" si="9"/>
        <v>2.6821183821798805E-3</v>
      </c>
      <c r="AB86" s="65">
        <f t="shared" si="10"/>
        <v>2.7435247901552184</v>
      </c>
      <c r="AC86" s="62" t="str">
        <f t="shared" si="11"/>
        <v>*</v>
      </c>
      <c r="AD86" s="62">
        <v>1</v>
      </c>
    </row>
    <row r="87" spans="2:30" s="62" customFormat="1" ht="15.75">
      <c r="B87" s="108">
        <v>11250</v>
      </c>
      <c r="C87" s="108">
        <v>299</v>
      </c>
      <c r="D87" s="112">
        <v>2.6259999999999999</v>
      </c>
      <c r="E87" s="112">
        <v>-8.6660000000000004</v>
      </c>
      <c r="F87" s="112">
        <v>18.271000000000001</v>
      </c>
      <c r="G87" s="112">
        <v>-19.053000000000001</v>
      </c>
      <c r="H87" s="112">
        <v>7.8220000000000001</v>
      </c>
      <c r="I87" s="108" t="s">
        <v>33</v>
      </c>
      <c r="J87" s="108"/>
      <c r="K87" s="113">
        <f t="shared" si="1"/>
        <v>5.3942694871394403</v>
      </c>
      <c r="L87" s="108">
        <v>9.5</v>
      </c>
      <c r="M87" s="108">
        <v>71</v>
      </c>
      <c r="N87" s="108"/>
      <c r="O87" s="110">
        <v>250</v>
      </c>
      <c r="P87" s="111">
        <f t="shared" si="2"/>
        <v>9</v>
      </c>
      <c r="Q87" s="111">
        <f t="shared" si="3"/>
        <v>21.625557352289999</v>
      </c>
      <c r="R87" s="111">
        <f t="shared" si="0"/>
        <v>21.625557352289999</v>
      </c>
      <c r="S87" s="62">
        <v>70</v>
      </c>
      <c r="T87" s="115">
        <v>250</v>
      </c>
      <c r="U87" s="116">
        <f t="shared" si="4"/>
        <v>0.57928120654477511</v>
      </c>
      <c r="V87" s="42">
        <f t="shared" si="5"/>
        <v>1.492465261781784</v>
      </c>
      <c r="W87" s="116">
        <f t="shared" si="6"/>
        <v>0</v>
      </c>
      <c r="X87" s="42">
        <f t="shared" si="7"/>
        <v>0</v>
      </c>
      <c r="Y87" s="44">
        <f>($C$75/1000)/(3.1418*(250/2000)^2)</f>
        <v>6.1111464765421099E-2</v>
      </c>
      <c r="Z87" s="117">
        <f t="shared" si="8"/>
        <v>5.3942694871394403</v>
      </c>
      <c r="AA87" s="44">
        <f t="shared" si="9"/>
        <v>1.0267838349694801E-3</v>
      </c>
      <c r="AB87" s="65">
        <f t="shared" si="10"/>
        <v>1.492465261781784</v>
      </c>
      <c r="AC87" s="62" t="str">
        <f t="shared" si="11"/>
        <v>*</v>
      </c>
      <c r="AD87" s="62">
        <v>1</v>
      </c>
    </row>
    <row r="88" spans="2:30" s="62" customFormat="1" ht="15.75">
      <c r="B88" s="108">
        <v>11300</v>
      </c>
      <c r="C88" s="108">
        <v>414</v>
      </c>
      <c r="D88" s="112">
        <v>1.8939999999999999</v>
      </c>
      <c r="E88" s="112">
        <v>-4.9050000000000002</v>
      </c>
      <c r="F88" s="112">
        <v>11.446</v>
      </c>
      <c r="G88" s="112">
        <v>-14.356999999999999</v>
      </c>
      <c r="H88" s="112">
        <v>6.9210000000000003</v>
      </c>
      <c r="I88" s="108" t="s">
        <v>33</v>
      </c>
      <c r="J88" s="108"/>
      <c r="K88" s="113">
        <f t="shared" si="1"/>
        <v>5.8344418772900184</v>
      </c>
      <c r="L88" s="108">
        <v>15.1</v>
      </c>
      <c r="M88" s="108">
        <v>86</v>
      </c>
      <c r="N88" s="108"/>
      <c r="O88" s="110">
        <v>300</v>
      </c>
      <c r="P88" s="111">
        <f t="shared" si="2"/>
        <v>10</v>
      </c>
      <c r="Q88" s="111">
        <f t="shared" si="3"/>
        <v>23.254141000000001</v>
      </c>
      <c r="R88" s="111">
        <f t="shared" si="0"/>
        <v>23.254141000000001</v>
      </c>
      <c r="S88" s="62">
        <v>70</v>
      </c>
      <c r="T88" s="115">
        <v>300</v>
      </c>
      <c r="U88" s="116">
        <f t="shared" si="4"/>
        <v>0.41836976028233758</v>
      </c>
      <c r="V88" s="42">
        <f t="shared" si="5"/>
        <v>0.78389032326931263</v>
      </c>
      <c r="W88" s="116">
        <f t="shared" si="6"/>
        <v>0</v>
      </c>
      <c r="X88" s="42">
        <f t="shared" si="7"/>
        <v>0</v>
      </c>
      <c r="Y88" s="44">
        <f>($C$75/1000)/(3.1418*(300/2000)^2)</f>
        <v>4.2438517198209104E-2</v>
      </c>
      <c r="Z88" s="117">
        <f t="shared" si="8"/>
        <v>5.8344418772900184</v>
      </c>
      <c r="AA88" s="44">
        <f t="shared" si="9"/>
        <v>5.355755188575376E-4</v>
      </c>
      <c r="AB88" s="65">
        <f t="shared" si="10"/>
        <v>0.78389032326931263</v>
      </c>
      <c r="AC88" s="62" t="str">
        <f t="shared" si="11"/>
        <v>*</v>
      </c>
      <c r="AD88" s="62">
        <v>1</v>
      </c>
    </row>
    <row r="89" spans="2:30" s="62" customFormat="1" ht="15.75">
      <c r="B89" s="108">
        <v>11350</v>
      </c>
      <c r="C89" s="108">
        <v>553</v>
      </c>
      <c r="D89" s="112">
        <v>2.383</v>
      </c>
      <c r="E89" s="112">
        <v>-9.0839999999999996</v>
      </c>
      <c r="F89" s="112">
        <v>23.606000000000002</v>
      </c>
      <c r="G89" s="112">
        <v>-29.303000000000001</v>
      </c>
      <c r="H89" s="112">
        <v>13.393000000000001</v>
      </c>
      <c r="I89" s="108" t="s">
        <v>33</v>
      </c>
      <c r="J89" s="108"/>
      <c r="K89" s="113">
        <f t="shared" si="1"/>
        <v>6.058106389249903</v>
      </c>
      <c r="L89" s="108">
        <v>24.6</v>
      </c>
      <c r="M89" s="108">
        <v>100</v>
      </c>
      <c r="N89" s="108"/>
      <c r="O89" s="110">
        <v>350</v>
      </c>
      <c r="P89" s="111">
        <f t="shared" si="2"/>
        <v>11</v>
      </c>
      <c r="Q89" s="111">
        <f t="shared" si="3"/>
        <v>24.768788512709996</v>
      </c>
      <c r="R89" s="111">
        <f t="shared" si="0"/>
        <v>24.768788512709996</v>
      </c>
      <c r="S89" s="62">
        <v>70</v>
      </c>
      <c r="T89" s="115">
        <v>350</v>
      </c>
      <c r="U89" s="116">
        <f t="shared" si="4"/>
        <v>0.31320991095278072</v>
      </c>
      <c r="V89" s="42">
        <f t="shared" si="5"/>
        <v>0.73754002334839974</v>
      </c>
      <c r="W89" s="116">
        <f t="shared" si="6"/>
        <v>0</v>
      </c>
      <c r="X89" s="42">
        <f t="shared" si="7"/>
        <v>0</v>
      </c>
      <c r="Y89" s="44">
        <f>($C$75/1000)/(3.1418*(350/2000)^2)</f>
        <v>3.1179318757867912E-2</v>
      </c>
      <c r="Z89" s="117">
        <f t="shared" si="8"/>
        <v>6.058106389249903</v>
      </c>
      <c r="AA89" s="44">
        <f t="shared" si="9"/>
        <v>3.0017266211951419E-4</v>
      </c>
      <c r="AB89" s="65">
        <f t="shared" si="10"/>
        <v>0.73754002334839974</v>
      </c>
      <c r="AC89" s="62" t="str">
        <f t="shared" si="11"/>
        <v>*</v>
      </c>
      <c r="AD89" s="62">
        <v>1</v>
      </c>
    </row>
    <row r="90" spans="2:30" s="62" customFormat="1" ht="15.75">
      <c r="B90" s="108">
        <v>11400</v>
      </c>
      <c r="C90" s="108">
        <v>706</v>
      </c>
      <c r="D90" s="112">
        <v>1.41</v>
      </c>
      <c r="E90" s="112">
        <v>-4.6189999999999998</v>
      </c>
      <c r="F90" s="112">
        <v>16.071999999999999</v>
      </c>
      <c r="G90" s="112">
        <v>-23.937000000000001</v>
      </c>
      <c r="H90" s="112">
        <v>12.066000000000001</v>
      </c>
      <c r="I90" s="108" t="s">
        <v>33</v>
      </c>
      <c r="J90" s="108"/>
      <c r="K90" s="113">
        <f t="shared" si="1"/>
        <v>6.3408217447385296</v>
      </c>
      <c r="L90" s="108">
        <v>36.200000000000003</v>
      </c>
      <c r="M90" s="108">
        <v>114</v>
      </c>
      <c r="N90" s="108"/>
      <c r="O90" s="110">
        <v>400</v>
      </c>
      <c r="P90" s="111">
        <f t="shared" si="2"/>
        <v>12</v>
      </c>
      <c r="Q90" s="111">
        <f t="shared" si="3"/>
        <v>26.179140126719997</v>
      </c>
      <c r="R90" s="111">
        <f t="shared" si="0"/>
        <v>26.179140126719997</v>
      </c>
      <c r="S90" s="62">
        <v>70</v>
      </c>
      <c r="T90" s="115">
        <v>400</v>
      </c>
      <c r="U90" s="116">
        <f t="shared" si="4"/>
        <v>0.24533297557632827</v>
      </c>
      <c r="V90" s="42">
        <f t="shared" si="5"/>
        <v>0.34316304499806327</v>
      </c>
      <c r="W90" s="116">
        <f t="shared" si="6"/>
        <v>0</v>
      </c>
      <c r="X90" s="42">
        <f t="shared" si="7"/>
        <v>0</v>
      </c>
      <c r="Y90" s="44">
        <f>($C$75/1000)/(3.1418*(400/2000)^2)</f>
        <v>2.3871665923992608E-2</v>
      </c>
      <c r="Z90" s="117">
        <f t="shared" si="8"/>
        <v>6.3408217447385296</v>
      </c>
      <c r="AA90" s="44">
        <f t="shared" si="9"/>
        <v>1.8416707787982089E-4</v>
      </c>
      <c r="AB90" s="65">
        <f t="shared" si="10"/>
        <v>0.34316304499806327</v>
      </c>
      <c r="AC90" s="62" t="str">
        <f t="shared" si="11"/>
        <v>*</v>
      </c>
      <c r="AD90" s="62">
        <v>1</v>
      </c>
    </row>
    <row r="91" spans="2:30" s="62" customFormat="1" ht="15.75">
      <c r="B91" s="108">
        <v>12040</v>
      </c>
      <c r="C91" s="108">
        <v>7</v>
      </c>
      <c r="D91" s="112">
        <v>3.0659999999999998</v>
      </c>
      <c r="E91" s="112">
        <v>-10.597</v>
      </c>
      <c r="F91" s="112">
        <v>22.399000000000001</v>
      </c>
      <c r="G91" s="112">
        <v>-22.629000000000001</v>
      </c>
      <c r="H91" s="112">
        <v>8.7629999999999999</v>
      </c>
      <c r="I91" s="108" t="s">
        <v>32</v>
      </c>
      <c r="J91" s="108"/>
      <c r="K91" s="113">
        <f t="shared" si="1"/>
        <v>6.4499874023683548</v>
      </c>
      <c r="L91" s="108">
        <v>7.4999999999999997E-2</v>
      </c>
      <c r="M91" s="108">
        <v>10</v>
      </c>
      <c r="N91" s="108"/>
      <c r="O91" s="110">
        <v>40</v>
      </c>
      <c r="P91" s="111">
        <f t="shared" si="2"/>
        <v>13</v>
      </c>
      <c r="Q91" s="111">
        <f t="shared" si="3"/>
        <v>27.494358083530003</v>
      </c>
      <c r="R91" s="111">
        <f t="shared" si="0"/>
        <v>27.494358083530003</v>
      </c>
      <c r="S91" s="62">
        <v>70</v>
      </c>
      <c r="T91" s="115">
        <v>40</v>
      </c>
      <c r="U91" s="116">
        <f t="shared" si="4"/>
        <v>24.743582965269677</v>
      </c>
      <c r="V91" s="42">
        <f t="shared" si="5"/>
        <v>37.247200981290248</v>
      </c>
      <c r="W91" s="116">
        <f t="shared" si="6"/>
        <v>0</v>
      </c>
      <c r="X91" s="42">
        <f t="shared" si="7"/>
        <v>0</v>
      </c>
      <c r="Y91" s="44">
        <f>($C$75/1000)/(3.1418*(40/2000)^2)</f>
        <v>2.3871665923992618</v>
      </c>
      <c r="Z91" s="117">
        <f t="shared" si="8"/>
        <v>6.4499874023683548</v>
      </c>
      <c r="AA91" s="44">
        <f t="shared" si="9"/>
        <v>1.8733775842878877</v>
      </c>
      <c r="AB91" s="65">
        <f t="shared" si="10"/>
        <v>37.247200981290248</v>
      </c>
      <c r="AC91" s="62" t="str">
        <f t="shared" si="11"/>
        <v>*</v>
      </c>
      <c r="AD91" s="62">
        <v>2</v>
      </c>
    </row>
    <row r="92" spans="2:30" s="62" customFormat="1" ht="15.75">
      <c r="B92" s="108">
        <v>12050</v>
      </c>
      <c r="C92" s="108">
        <v>16</v>
      </c>
      <c r="D92" s="112">
        <v>3.0659999999999998</v>
      </c>
      <c r="E92" s="112">
        <v>-10.597</v>
      </c>
      <c r="F92" s="112">
        <v>22.399000000000001</v>
      </c>
      <c r="G92" s="112">
        <v>-22.629000000000001</v>
      </c>
      <c r="H92" s="112">
        <v>8.7629999999999999</v>
      </c>
      <c r="I92" s="108" t="s">
        <v>33</v>
      </c>
      <c r="J92" s="108"/>
      <c r="K92" s="113">
        <f t="shared" si="1"/>
        <v>3.0140817901234569</v>
      </c>
      <c r="L92" s="108">
        <v>0.12</v>
      </c>
      <c r="M92" s="108">
        <v>15</v>
      </c>
      <c r="N92" s="108"/>
      <c r="O92" s="110">
        <v>50</v>
      </c>
      <c r="P92" s="111">
        <f t="shared" si="2"/>
        <v>14</v>
      </c>
      <c r="Q92" s="111">
        <f t="shared" si="3"/>
        <v>28.723137455040003</v>
      </c>
      <c r="R92" s="111">
        <f t="shared" si="0"/>
        <v>28.723137455040003</v>
      </c>
      <c r="S92" s="62">
        <v>70</v>
      </c>
      <c r="T92" s="115">
        <v>50</v>
      </c>
      <c r="U92" s="116">
        <f t="shared" si="4"/>
        <v>10.825317547305485</v>
      </c>
      <c r="V92" s="42">
        <f t="shared" si="5"/>
        <v>23.315848546708121</v>
      </c>
      <c r="W92" s="116">
        <f t="shared" si="6"/>
        <v>0</v>
      </c>
      <c r="X92" s="42">
        <f t="shared" si="7"/>
        <v>0</v>
      </c>
      <c r="Y92" s="44">
        <f>($C$75/1000)/(3.1418*(50/2000)^2)</f>
        <v>1.5277866191355269</v>
      </c>
      <c r="Z92" s="117">
        <f t="shared" si="8"/>
        <v>3.0140817901234569</v>
      </c>
      <c r="AA92" s="44">
        <f t="shared" si="9"/>
        <v>0.35857617824260318</v>
      </c>
      <c r="AB92" s="65">
        <f t="shared" si="10"/>
        <v>23.315848546708121</v>
      </c>
      <c r="AC92" s="62" t="str">
        <f t="shared" si="11"/>
        <v>*</v>
      </c>
      <c r="AD92" s="62">
        <v>2</v>
      </c>
    </row>
    <row r="93" spans="2:30" s="62" customFormat="1" ht="15.75">
      <c r="B93" s="108">
        <v>12065</v>
      </c>
      <c r="C93" s="108">
        <v>24</v>
      </c>
      <c r="D93" s="112">
        <v>2.8330000000000002</v>
      </c>
      <c r="E93" s="112">
        <v>-8.6010000000000009</v>
      </c>
      <c r="F93" s="112">
        <v>15.932</v>
      </c>
      <c r="G93" s="112">
        <v>-13.823</v>
      </c>
      <c r="H93" s="112">
        <v>4.6619999999999999</v>
      </c>
      <c r="I93" s="108" t="s">
        <v>33</v>
      </c>
      <c r="J93" s="108"/>
      <c r="K93" s="113">
        <f t="shared" si="1"/>
        <v>3.8260084447873801</v>
      </c>
      <c r="L93" s="108">
        <v>0.16</v>
      </c>
      <c r="M93" s="108">
        <v>18</v>
      </c>
      <c r="N93" s="108"/>
      <c r="O93" s="110">
        <v>65</v>
      </c>
      <c r="P93" s="111">
        <f t="shared" si="2"/>
        <v>15</v>
      </c>
      <c r="Q93" s="111">
        <f t="shared" si="3"/>
        <v>29.873716968750003</v>
      </c>
      <c r="R93" s="111">
        <f t="shared" si="0"/>
        <v>29.873716968750003</v>
      </c>
      <c r="S93" s="62">
        <v>70</v>
      </c>
      <c r="T93" s="115">
        <v>65</v>
      </c>
      <c r="U93" s="116">
        <f t="shared" si="4"/>
        <v>7.2168783648703227</v>
      </c>
      <c r="V93" s="42">
        <f t="shared" si="5"/>
        <v>16.527994854397651</v>
      </c>
      <c r="W93" s="116">
        <f t="shared" si="6"/>
        <v>0</v>
      </c>
      <c r="X93" s="42">
        <f t="shared" si="7"/>
        <v>0</v>
      </c>
      <c r="Y93" s="44">
        <f>($C$75/1000)/(3.1418*(65/2000)^2)</f>
        <v>0.90401575096776765</v>
      </c>
      <c r="Z93" s="117">
        <f t="shared" si="8"/>
        <v>3.8260084447873801</v>
      </c>
      <c r="AA93" s="44">
        <f t="shared" si="9"/>
        <v>0.15936719033004593</v>
      </c>
      <c r="AB93" s="65">
        <f t="shared" si="10"/>
        <v>16.527994854397651</v>
      </c>
      <c r="AC93" s="62" t="str">
        <f t="shared" si="11"/>
        <v>*</v>
      </c>
      <c r="AD93" s="62">
        <v>2</v>
      </c>
    </row>
    <row r="94" spans="2:30" s="62" customFormat="1" ht="15.75">
      <c r="B94" s="108">
        <v>12080</v>
      </c>
      <c r="C94" s="108">
        <v>33</v>
      </c>
      <c r="D94" s="112">
        <v>3.5209999999999999</v>
      </c>
      <c r="E94" s="112">
        <v>-14.369</v>
      </c>
      <c r="F94" s="112">
        <v>32.14</v>
      </c>
      <c r="G94" s="112">
        <v>-32.811</v>
      </c>
      <c r="H94" s="112">
        <v>12.52</v>
      </c>
      <c r="I94" s="108" t="s">
        <v>33</v>
      </c>
      <c r="J94" s="108"/>
      <c r="K94" s="113">
        <f t="shared" si="1"/>
        <v>4.6435171014295591</v>
      </c>
      <c r="L94" s="108">
        <v>0.3</v>
      </c>
      <c r="M94" s="108">
        <v>20</v>
      </c>
      <c r="N94" s="108"/>
      <c r="O94" s="110">
        <v>80</v>
      </c>
      <c r="P94" s="111">
        <f t="shared" si="2"/>
        <v>16</v>
      </c>
      <c r="Q94" s="111">
        <f t="shared" si="3"/>
        <v>30.953889832959998</v>
      </c>
      <c r="R94" s="111">
        <f t="shared" si="0"/>
        <v>30.953889832959998</v>
      </c>
      <c r="S94" s="62">
        <v>70</v>
      </c>
      <c r="T94" s="115">
        <v>80</v>
      </c>
      <c r="U94" s="116">
        <f t="shared" si="4"/>
        <v>5.2486388108147803</v>
      </c>
      <c r="V94" s="42">
        <f t="shared" si="5"/>
        <v>14.962367544439841</v>
      </c>
      <c r="W94" s="116">
        <f t="shared" si="6"/>
        <v>0</v>
      </c>
      <c r="X94" s="42">
        <f t="shared" si="7"/>
        <v>0</v>
      </c>
      <c r="Y94" s="44">
        <f>($C$75/1000)/(3.1418*(80/2000)^2)</f>
        <v>0.59679164809981544</v>
      </c>
      <c r="Z94" s="117">
        <f t="shared" si="8"/>
        <v>4.6435171014295591</v>
      </c>
      <c r="AA94" s="44">
        <f t="shared" si="9"/>
        <v>8.4293389926635889E-2</v>
      </c>
      <c r="AB94" s="65">
        <f t="shared" si="10"/>
        <v>14.962367544439841</v>
      </c>
      <c r="AC94" s="62" t="str">
        <f t="shared" si="11"/>
        <v>*</v>
      </c>
      <c r="AD94" s="62">
        <v>2</v>
      </c>
    </row>
    <row r="95" spans="2:30" s="62" customFormat="1" ht="15.75">
      <c r="B95" s="108">
        <v>12100</v>
      </c>
      <c r="C95" s="108">
        <v>57</v>
      </c>
      <c r="D95" s="112">
        <v>3.5680000000000001</v>
      </c>
      <c r="E95" s="112">
        <v>-17.024999999999999</v>
      </c>
      <c r="F95" s="112">
        <v>42.238999999999997</v>
      </c>
      <c r="G95" s="112">
        <v>-46.984999999999999</v>
      </c>
      <c r="H95" s="112">
        <v>19.202999999999999</v>
      </c>
      <c r="I95" s="108" t="s">
        <v>33</v>
      </c>
      <c r="J95" s="108"/>
      <c r="K95" s="113">
        <f t="shared" si="1"/>
        <v>3.7998396467669062</v>
      </c>
      <c r="L95" s="108">
        <v>0.64</v>
      </c>
      <c r="M95" s="108">
        <v>28</v>
      </c>
      <c r="N95" s="108"/>
      <c r="O95" s="110">
        <v>100</v>
      </c>
      <c r="P95" s="111">
        <f t="shared" si="2"/>
        <v>17</v>
      </c>
      <c r="Q95" s="111">
        <f t="shared" si="3"/>
        <v>31.971014561969991</v>
      </c>
      <c r="R95" s="111">
        <f t="shared" si="0"/>
        <v>31.971014561969991</v>
      </c>
      <c r="S95" s="62">
        <v>70</v>
      </c>
      <c r="T95" s="115">
        <v>100</v>
      </c>
      <c r="U95" s="116">
        <f t="shared" si="4"/>
        <v>3.0386856273138201</v>
      </c>
      <c r="V95" s="42">
        <f t="shared" si="5"/>
        <v>9.3845663387962848</v>
      </c>
      <c r="W95" s="116">
        <f t="shared" si="6"/>
        <v>0</v>
      </c>
      <c r="X95" s="42">
        <f t="shared" si="7"/>
        <v>0</v>
      </c>
      <c r="Y95" s="44">
        <f>($C$75/1000)/(3.1418*(100/2000)^2)</f>
        <v>0.38194665478388173</v>
      </c>
      <c r="Z95" s="117">
        <f t="shared" si="8"/>
        <v>3.7998396467669062</v>
      </c>
      <c r="AA95" s="44">
        <f t="shared" si="9"/>
        <v>2.8253463105603695E-2</v>
      </c>
      <c r="AB95" s="65">
        <f t="shared" si="10"/>
        <v>9.3845663387962848</v>
      </c>
      <c r="AC95" s="62" t="str">
        <f t="shared" si="11"/>
        <v>*</v>
      </c>
      <c r="AD95" s="62">
        <v>2</v>
      </c>
    </row>
    <row r="96" spans="2:30" s="62" customFormat="1" ht="15.75">
      <c r="B96" s="108">
        <v>12150</v>
      </c>
      <c r="C96" s="108">
        <v>130</v>
      </c>
      <c r="D96" s="112">
        <v>3.8279999999999998</v>
      </c>
      <c r="E96" s="112">
        <v>-17.004000000000001</v>
      </c>
      <c r="F96" s="112">
        <v>39.752000000000002</v>
      </c>
      <c r="G96" s="112">
        <v>-42.219000000000001</v>
      </c>
      <c r="H96" s="112">
        <v>16.643999999999998</v>
      </c>
      <c r="I96" s="108" t="s">
        <v>33</v>
      </c>
      <c r="J96" s="108"/>
      <c r="K96" s="113">
        <f t="shared" si="1"/>
        <v>3.6982248520710059</v>
      </c>
      <c r="L96" s="108">
        <v>2</v>
      </c>
      <c r="M96" s="108">
        <v>43</v>
      </c>
      <c r="N96" s="108"/>
      <c r="O96" s="110">
        <v>150</v>
      </c>
      <c r="P96" s="111">
        <f t="shared" si="2"/>
        <v>18</v>
      </c>
      <c r="Q96" s="111">
        <f t="shared" si="3"/>
        <v>32.932025801279998</v>
      </c>
      <c r="R96" s="111">
        <f t="shared" si="0"/>
        <v>32.932025801279998</v>
      </c>
      <c r="S96" s="62">
        <v>70</v>
      </c>
      <c r="T96" s="115">
        <v>150</v>
      </c>
      <c r="U96" s="116">
        <f t="shared" si="4"/>
        <v>1.3323467750529827</v>
      </c>
      <c r="V96" s="42">
        <f t="shared" si="5"/>
        <v>4.8076467571142745</v>
      </c>
      <c r="W96" s="116">
        <f t="shared" si="6"/>
        <v>0</v>
      </c>
      <c r="X96" s="42">
        <f t="shared" si="7"/>
        <v>0</v>
      </c>
      <c r="Y96" s="44">
        <f>($C$75/1000)/(3.1418*(150/2000)^2)</f>
        <v>0.16975406879283642</v>
      </c>
      <c r="Z96" s="117">
        <f t="shared" si="8"/>
        <v>3.6982248520710059</v>
      </c>
      <c r="AA96" s="44">
        <f t="shared" si="9"/>
        <v>5.4316864869885509E-3</v>
      </c>
      <c r="AB96" s="65">
        <f t="shared" si="10"/>
        <v>4.8076467571142745</v>
      </c>
      <c r="AC96" s="62" t="str">
        <f t="shared" si="11"/>
        <v>*</v>
      </c>
      <c r="AD96" s="62">
        <v>2</v>
      </c>
    </row>
    <row r="97" spans="2:30" s="62" customFormat="1" ht="15.75">
      <c r="B97" s="108">
        <v>12200</v>
      </c>
      <c r="C97" s="108">
        <v>238</v>
      </c>
      <c r="D97" s="112">
        <v>3.0390000000000001</v>
      </c>
      <c r="E97" s="112">
        <v>-11.855</v>
      </c>
      <c r="F97" s="112">
        <v>27.024999999999999</v>
      </c>
      <c r="G97" s="112">
        <v>-29.184000000000001</v>
      </c>
      <c r="H97" s="112">
        <v>11.974</v>
      </c>
      <c r="I97" s="108" t="s">
        <v>33</v>
      </c>
      <c r="J97" s="108"/>
      <c r="K97" s="113">
        <f t="shared" si="1"/>
        <v>3.4872336734257972</v>
      </c>
      <c r="L97" s="108">
        <v>4.8</v>
      </c>
      <c r="M97" s="108">
        <v>57</v>
      </c>
      <c r="N97" s="108"/>
      <c r="O97" s="110">
        <v>200</v>
      </c>
      <c r="P97" s="111">
        <f t="shared" si="2"/>
        <v>19</v>
      </c>
      <c r="Q97" s="111">
        <f t="shared" si="3"/>
        <v>33.843445152790011</v>
      </c>
      <c r="R97" s="111">
        <f t="shared" si="0"/>
        <v>33.843445152790011</v>
      </c>
      <c r="S97" s="62">
        <v>70</v>
      </c>
      <c r="T97" s="115">
        <v>200</v>
      </c>
      <c r="U97" s="116">
        <f t="shared" si="4"/>
        <v>0.72775244015499052</v>
      </c>
      <c r="V97" s="42">
        <f t="shared" si="5"/>
        <v>2.1498862622269148</v>
      </c>
      <c r="W97" s="116">
        <f t="shared" si="6"/>
        <v>0</v>
      </c>
      <c r="X97" s="42">
        <f t="shared" si="7"/>
        <v>0</v>
      </c>
      <c r="Y97" s="44">
        <f>($C$75/1000)/(3.1418*(200/2000)^2)</f>
        <v>9.5486663695970433E-2</v>
      </c>
      <c r="Z97" s="117">
        <f t="shared" si="8"/>
        <v>3.4872336734257972</v>
      </c>
      <c r="AA97" s="44">
        <f t="shared" si="9"/>
        <v>1.6205688445396936E-3</v>
      </c>
      <c r="AB97" s="65">
        <f t="shared" si="10"/>
        <v>2.1498862622269148</v>
      </c>
      <c r="AC97" s="62" t="str">
        <f t="shared" si="11"/>
        <v>*</v>
      </c>
      <c r="AD97" s="62">
        <v>2</v>
      </c>
    </row>
    <row r="98" spans="2:30" s="62" customFormat="1" ht="15.75">
      <c r="B98" s="108">
        <v>12250</v>
      </c>
      <c r="C98" s="108">
        <v>378</v>
      </c>
      <c r="D98" s="112">
        <v>2.6259999999999999</v>
      </c>
      <c r="E98" s="112">
        <v>-8.6660000000000004</v>
      </c>
      <c r="F98" s="112">
        <v>18.271000000000001</v>
      </c>
      <c r="G98" s="112">
        <v>-19.053000000000001</v>
      </c>
      <c r="H98" s="112">
        <v>7.8220000000000001</v>
      </c>
      <c r="I98" s="108" t="s">
        <v>33</v>
      </c>
      <c r="J98" s="108"/>
      <c r="K98" s="113">
        <f t="shared" si="1"/>
        <v>3.3751370791673883</v>
      </c>
      <c r="L98" s="108">
        <v>9.5</v>
      </c>
      <c r="M98" s="108">
        <v>71</v>
      </c>
      <c r="N98" s="108"/>
      <c r="O98" s="110">
        <v>250</v>
      </c>
      <c r="P98" s="111">
        <f t="shared" si="2"/>
        <v>20</v>
      </c>
      <c r="Q98" s="111">
        <f t="shared" si="3"/>
        <v>34.711391999999989</v>
      </c>
      <c r="R98" s="111" t="str">
        <f t="shared" si="0"/>
        <v xml:space="preserve"> </v>
      </c>
      <c r="S98" s="62">
        <v>70</v>
      </c>
      <c r="T98" s="115">
        <v>250</v>
      </c>
      <c r="U98" s="116">
        <f t="shared" si="4"/>
        <v>0.45821449935684588</v>
      </c>
      <c r="V98" s="42">
        <f t="shared" si="5"/>
        <v>1.1852510373962277</v>
      </c>
      <c r="W98" s="116">
        <f t="shared" si="6"/>
        <v>0</v>
      </c>
      <c r="X98" s="42">
        <f t="shared" si="7"/>
        <v>0</v>
      </c>
      <c r="Y98" s="44">
        <f>($C$75/1000)/(3.1418*(250/2000)^2)</f>
        <v>6.1111464765421099E-2</v>
      </c>
      <c r="Z98" s="117">
        <f t="shared" si="8"/>
        <v>3.3751370791673883</v>
      </c>
      <c r="AA98" s="44">
        <f t="shared" si="9"/>
        <v>6.4244773123727276E-4</v>
      </c>
      <c r="AB98" s="65">
        <f t="shared" si="10"/>
        <v>1.1852510373962277</v>
      </c>
      <c r="AC98" s="62" t="str">
        <f t="shared" si="11"/>
        <v>*</v>
      </c>
      <c r="AD98" s="62">
        <v>2</v>
      </c>
    </row>
    <row r="99" spans="2:30" s="62" customFormat="1" ht="15.75">
      <c r="B99" s="108">
        <v>12300</v>
      </c>
      <c r="C99" s="108">
        <v>601</v>
      </c>
      <c r="D99" s="112">
        <v>1.8939999999999999</v>
      </c>
      <c r="E99" s="112">
        <v>-4.9050000000000002</v>
      </c>
      <c r="F99" s="112">
        <v>11.446</v>
      </c>
      <c r="G99" s="112">
        <v>-14.356999999999999</v>
      </c>
      <c r="H99" s="112">
        <v>6.9210000000000003</v>
      </c>
      <c r="I99" s="108" t="s">
        <v>33</v>
      </c>
      <c r="J99" s="108"/>
      <c r="K99" s="113">
        <f t="shared" si="1"/>
        <v>2.7685416153332909</v>
      </c>
      <c r="L99" s="108">
        <v>15.1</v>
      </c>
      <c r="M99" s="108">
        <v>86</v>
      </c>
      <c r="N99" s="108"/>
      <c r="O99" s="110">
        <v>300</v>
      </c>
      <c r="P99" s="111">
        <f t="shared" si="2"/>
        <v>21</v>
      </c>
      <c r="Q99" s="111">
        <f t="shared" si="3"/>
        <v>35.541594333210007</v>
      </c>
      <c r="R99" s="111" t="str">
        <f t="shared" si="0"/>
        <v xml:space="preserve"> </v>
      </c>
      <c r="S99" s="62">
        <v>70</v>
      </c>
      <c r="T99" s="115">
        <v>300</v>
      </c>
      <c r="U99" s="116">
        <f t="shared" si="4"/>
        <v>0.28819480991162688</v>
      </c>
      <c r="V99" s="42">
        <f t="shared" si="5"/>
        <v>0.541794359664026</v>
      </c>
      <c r="W99" s="116">
        <f t="shared" si="6"/>
        <v>0</v>
      </c>
      <c r="X99" s="42">
        <f t="shared" si="7"/>
        <v>0</v>
      </c>
      <c r="Y99" s="44">
        <f>($C$75/1000)/(3.1418*(300/2000)^2)</f>
        <v>4.2438517198209104E-2</v>
      </c>
      <c r="Z99" s="117">
        <f t="shared" si="8"/>
        <v>2.7685416153332909</v>
      </c>
      <c r="AA99" s="44">
        <f t="shared" si="9"/>
        <v>2.5413966636334483E-4</v>
      </c>
      <c r="AB99" s="65">
        <f t="shared" si="10"/>
        <v>0.541794359664026</v>
      </c>
      <c r="AC99" s="62" t="str">
        <f t="shared" si="11"/>
        <v>*</v>
      </c>
      <c r="AD99" s="62">
        <v>2</v>
      </c>
    </row>
    <row r="100" spans="2:30" s="62" customFormat="1" ht="15.75">
      <c r="B100" s="108">
        <v>12350</v>
      </c>
      <c r="C100" s="108">
        <v>735</v>
      </c>
      <c r="D100" s="112">
        <v>2.383</v>
      </c>
      <c r="E100" s="112">
        <v>-9.0839999999999996</v>
      </c>
      <c r="F100" s="112">
        <v>23.606000000000002</v>
      </c>
      <c r="G100" s="112">
        <v>-29.303000000000001</v>
      </c>
      <c r="H100" s="112">
        <v>13.393000000000001</v>
      </c>
      <c r="I100" s="108" t="s">
        <v>33</v>
      </c>
      <c r="J100" s="108"/>
      <c r="K100" s="113">
        <f t="shared" si="1"/>
        <v>3.4293552812071328</v>
      </c>
      <c r="L100" s="108">
        <v>24.6</v>
      </c>
      <c r="M100" s="108">
        <v>100</v>
      </c>
      <c r="N100" s="108"/>
      <c r="O100" s="110">
        <v>350</v>
      </c>
      <c r="P100" s="111">
        <f t="shared" si="2"/>
        <v>22</v>
      </c>
      <c r="Q100" s="111">
        <f t="shared" si="3"/>
        <v>36.339399574719991</v>
      </c>
      <c r="R100" s="111" t="str">
        <f t="shared" si="0"/>
        <v xml:space="preserve"> </v>
      </c>
      <c r="S100" s="62">
        <v>70</v>
      </c>
      <c r="T100" s="115">
        <v>350</v>
      </c>
      <c r="U100" s="116">
        <f t="shared" si="4"/>
        <v>0.23565317109780648</v>
      </c>
      <c r="V100" s="42">
        <f t="shared" si="5"/>
        <v>0.55654774342533353</v>
      </c>
      <c r="W100" s="116">
        <f t="shared" si="6"/>
        <v>0</v>
      </c>
      <c r="X100" s="42">
        <f t="shared" si="7"/>
        <v>0</v>
      </c>
      <c r="Y100" s="44">
        <f>($C$75/1000)/(3.1418*(350/2000)^2)</f>
        <v>3.1179318757867912E-2</v>
      </c>
      <c r="Z100" s="117">
        <f t="shared" si="8"/>
        <v>3.4293552812071328</v>
      </c>
      <c r="AA100" s="44">
        <f t="shared" si="9"/>
        <v>1.6992086932316442E-4</v>
      </c>
      <c r="AB100" s="65">
        <f t="shared" si="10"/>
        <v>0.55654774342533353</v>
      </c>
      <c r="AC100" s="62" t="str">
        <f t="shared" si="11"/>
        <v>*</v>
      </c>
      <c r="AD100" s="62">
        <v>2</v>
      </c>
    </row>
    <row r="101" spans="2:30" s="62" customFormat="1" ht="15.75">
      <c r="B101" s="108">
        <v>12400</v>
      </c>
      <c r="C101" s="108">
        <v>1009</v>
      </c>
      <c r="D101" s="112">
        <v>1.41</v>
      </c>
      <c r="E101" s="112">
        <v>-4.6189999999999998</v>
      </c>
      <c r="F101" s="112">
        <v>16.071999999999999</v>
      </c>
      <c r="G101" s="112">
        <v>-23.937000000000001</v>
      </c>
      <c r="H101" s="112">
        <v>12.066000000000001</v>
      </c>
      <c r="I101" s="108" t="s">
        <v>33</v>
      </c>
      <c r="J101" s="108"/>
      <c r="K101" s="113">
        <f t="shared" si="1"/>
        <v>3.1043638248434986</v>
      </c>
      <c r="L101" s="108">
        <v>36.200000000000003</v>
      </c>
      <c r="M101" s="108">
        <v>114</v>
      </c>
      <c r="N101" s="108"/>
      <c r="O101" s="110">
        <v>400</v>
      </c>
      <c r="P101" s="111">
        <f t="shared" si="2"/>
        <v>23</v>
      </c>
      <c r="Q101" s="111">
        <f t="shared" si="3"/>
        <v>37.109785404029999</v>
      </c>
      <c r="R101" s="111" t="str">
        <f t="shared" si="0"/>
        <v xml:space="preserve"> </v>
      </c>
      <c r="S101" s="62">
        <v>70</v>
      </c>
      <c r="T101" s="115">
        <v>400</v>
      </c>
      <c r="U101" s="116">
        <f t="shared" si="4"/>
        <v>0.17166013950137538</v>
      </c>
      <c r="V101" s="42">
        <f t="shared" si="5"/>
        <v>0.24068781557156999</v>
      </c>
      <c r="W101" s="116">
        <f t="shared" si="6"/>
        <v>0</v>
      </c>
      <c r="X101" s="42">
        <f t="shared" si="7"/>
        <v>0</v>
      </c>
      <c r="Y101" s="44">
        <f>($C$75/1000)/(3.1418*(400/2000)^2)</f>
        <v>2.3871665923992608E-2</v>
      </c>
      <c r="Z101" s="117">
        <f t="shared" si="8"/>
        <v>3.1043638248434986</v>
      </c>
      <c r="AA101" s="44">
        <f t="shared" si="9"/>
        <v>9.0165224211144701E-5</v>
      </c>
      <c r="AB101" s="65">
        <f t="shared" si="10"/>
        <v>0.24068781557156999</v>
      </c>
      <c r="AC101" s="62" t="str">
        <f t="shared" si="11"/>
        <v>*</v>
      </c>
      <c r="AD101" s="62">
        <v>2</v>
      </c>
    </row>
    <row r="102" spans="2:30" s="62" customFormat="1" ht="15.75">
      <c r="B102" s="108">
        <v>21050</v>
      </c>
      <c r="C102" s="108">
        <v>9</v>
      </c>
      <c r="D102" s="112">
        <v>3.2890000000000001</v>
      </c>
      <c r="E102" s="112">
        <v>-11.948</v>
      </c>
      <c r="F102" s="112">
        <v>25.518999999999998</v>
      </c>
      <c r="G102" s="112">
        <v>-24.878</v>
      </c>
      <c r="H102" s="112">
        <v>9.0210000000000008</v>
      </c>
      <c r="I102" s="108" t="s">
        <v>32</v>
      </c>
      <c r="J102" s="108"/>
      <c r="K102" s="113">
        <f t="shared" si="1"/>
        <v>9.5259868922420363</v>
      </c>
      <c r="L102" s="108">
        <v>7.4999999999999997E-2</v>
      </c>
      <c r="M102" s="108">
        <v>10</v>
      </c>
      <c r="N102" s="108"/>
      <c r="O102" s="110">
        <v>40</v>
      </c>
      <c r="P102" s="111">
        <f t="shared" si="2"/>
        <v>24</v>
      </c>
      <c r="Q102" s="111">
        <f t="shared" si="3"/>
        <v>37.857370583039994</v>
      </c>
      <c r="R102" s="111" t="str">
        <f t="shared" si="0"/>
        <v xml:space="preserve"> </v>
      </c>
      <c r="S102" s="62">
        <v>70</v>
      </c>
      <c r="T102" s="115">
        <v>50</v>
      </c>
      <c r="U102" s="116">
        <f t="shared" si="4"/>
        <v>19.245008972987527</v>
      </c>
      <c r="V102" s="42">
        <f t="shared" si="5"/>
        <v>34.059894311127678</v>
      </c>
      <c r="W102" s="116">
        <f t="shared" si="6"/>
        <v>0</v>
      </c>
      <c r="X102" s="42">
        <f t="shared" si="7"/>
        <v>0</v>
      </c>
      <c r="Y102" s="44">
        <f>($C$75/1000)/(3.1418*(50/2000)^2)</f>
        <v>1.5277866191355269</v>
      </c>
      <c r="Z102" s="117">
        <f t="shared" si="8"/>
        <v>9.5259868922420363</v>
      </c>
      <c r="AA102" s="44">
        <f t="shared" si="9"/>
        <v>1.1332777979025483</v>
      </c>
      <c r="AB102" s="65">
        <f t="shared" si="10"/>
        <v>34.059894311127678</v>
      </c>
      <c r="AC102" s="62" t="str">
        <f t="shared" si="11"/>
        <v>*</v>
      </c>
      <c r="AD102" s="62">
        <v>2</v>
      </c>
    </row>
    <row r="103" spans="2:30" s="62" customFormat="1" ht="15.75">
      <c r="B103" s="108">
        <v>21065</v>
      </c>
      <c r="C103" s="108">
        <v>12</v>
      </c>
      <c r="D103" s="112">
        <v>3.2890000000000001</v>
      </c>
      <c r="E103" s="112">
        <v>-11.948</v>
      </c>
      <c r="F103" s="112">
        <v>25.518999999999998</v>
      </c>
      <c r="G103" s="112">
        <v>-24.878</v>
      </c>
      <c r="H103" s="112">
        <v>9.0210000000000008</v>
      </c>
      <c r="I103" s="108" t="s">
        <v>32</v>
      </c>
      <c r="J103" s="108"/>
      <c r="K103" s="113">
        <f t="shared" si="1"/>
        <v>15.30403377914952</v>
      </c>
      <c r="L103" s="108">
        <v>0.12</v>
      </c>
      <c r="M103" s="108">
        <v>15</v>
      </c>
      <c r="N103" s="108"/>
      <c r="O103" s="110">
        <v>50</v>
      </c>
      <c r="P103" s="111">
        <f t="shared" si="2"/>
        <v>25</v>
      </c>
      <c r="Q103" s="111">
        <f t="shared" si="3"/>
        <v>38.58642578125</v>
      </c>
      <c r="R103" s="111" t="str">
        <f t="shared" si="0"/>
        <v xml:space="preserve"> </v>
      </c>
      <c r="S103" s="62">
        <v>70</v>
      </c>
      <c r="T103" s="115">
        <v>65</v>
      </c>
      <c r="U103" s="116">
        <f t="shared" si="4"/>
        <v>14.433756729740645</v>
      </c>
      <c r="V103" s="42">
        <f t="shared" si="5"/>
        <v>29.231344956512405</v>
      </c>
      <c r="W103" s="116">
        <f t="shared" si="6"/>
        <v>0</v>
      </c>
      <c r="X103" s="42">
        <f t="shared" si="7"/>
        <v>0</v>
      </c>
      <c r="Y103" s="44">
        <f>($C$75/1000)/(3.1418*(65/2000)^2)</f>
        <v>0.90401575096776765</v>
      </c>
      <c r="Z103" s="117">
        <f t="shared" si="8"/>
        <v>15.30403377914952</v>
      </c>
      <c r="AA103" s="44">
        <f t="shared" si="9"/>
        <v>0.63746876132018371</v>
      </c>
      <c r="AB103" s="65">
        <f t="shared" si="10"/>
        <v>29.231344956512405</v>
      </c>
      <c r="AC103" s="62" t="str">
        <f t="shared" si="11"/>
        <v>*</v>
      </c>
      <c r="AD103" s="62">
        <v>2</v>
      </c>
    </row>
    <row r="104" spans="2:30" s="62" customFormat="1" ht="15.75">
      <c r="B104" s="108">
        <v>21080</v>
      </c>
      <c r="C104" s="108">
        <v>16</v>
      </c>
      <c r="D104" s="112">
        <v>3.2890000000000001</v>
      </c>
      <c r="E104" s="112">
        <v>-11.948</v>
      </c>
      <c r="F104" s="112">
        <v>25.518999999999998</v>
      </c>
      <c r="G104" s="112">
        <v>-24.878</v>
      </c>
      <c r="H104" s="112">
        <v>9.0210000000000008</v>
      </c>
      <c r="I104" s="108" t="s">
        <v>33</v>
      </c>
      <c r="J104" s="108"/>
      <c r="K104" s="113">
        <f t="shared" si="1"/>
        <v>19.753086419753085</v>
      </c>
      <c r="L104" s="108">
        <v>0.12</v>
      </c>
      <c r="M104" s="108">
        <v>15</v>
      </c>
      <c r="N104" s="108"/>
      <c r="O104" s="110">
        <v>50</v>
      </c>
      <c r="P104" s="111">
        <f t="shared" si="2"/>
        <v>26</v>
      </c>
      <c r="Q104" s="111">
        <f t="shared" si="3"/>
        <v>39.300884400960001</v>
      </c>
      <c r="R104" s="111" t="str">
        <f t="shared" si="0"/>
        <v xml:space="preserve"> </v>
      </c>
      <c r="S104" s="62">
        <v>70</v>
      </c>
      <c r="T104" s="115">
        <v>80</v>
      </c>
      <c r="U104" s="116">
        <f t="shared" si="4"/>
        <v>10.825317547305485</v>
      </c>
      <c r="V104" s="42">
        <f t="shared" si="5"/>
        <v>24.511990143471479</v>
      </c>
      <c r="W104" s="116">
        <f t="shared" si="6"/>
        <v>0</v>
      </c>
      <c r="X104" s="42">
        <f t="shared" si="7"/>
        <v>0</v>
      </c>
      <c r="Y104" s="44">
        <f>($C$75/1000)/(3.1418*(80/2000)^2)</f>
        <v>0.59679164809981544</v>
      </c>
      <c r="Z104" s="117">
        <f t="shared" si="8"/>
        <v>19.753086419753085</v>
      </c>
      <c r="AA104" s="44">
        <f t="shared" si="9"/>
        <v>0.35857617824260346</v>
      </c>
      <c r="AB104" s="65">
        <f t="shared" si="10"/>
        <v>24.511990143471479</v>
      </c>
      <c r="AC104" s="62" t="str">
        <f t="shared" si="11"/>
        <v>*</v>
      </c>
      <c r="AD104" s="62">
        <v>2</v>
      </c>
    </row>
    <row r="105" spans="2:30" s="62" customFormat="1" ht="15.75">
      <c r="B105" s="108">
        <v>21100</v>
      </c>
      <c r="C105" s="108">
        <v>33</v>
      </c>
      <c r="D105" s="112">
        <v>3.2959999999999998</v>
      </c>
      <c r="E105" s="112">
        <v>-12.084</v>
      </c>
      <c r="F105" s="112">
        <v>25.783000000000001</v>
      </c>
      <c r="G105" s="112">
        <v>-25.023</v>
      </c>
      <c r="H105" s="112">
        <v>9.0310000000000006</v>
      </c>
      <c r="I105" s="108" t="s">
        <v>33</v>
      </c>
      <c r="J105" s="108"/>
      <c r="K105" s="113">
        <f t="shared" si="1"/>
        <v>11.33671167341201</v>
      </c>
      <c r="L105" s="108">
        <v>0.3</v>
      </c>
      <c r="M105" s="108">
        <v>20</v>
      </c>
      <c r="N105" s="108"/>
      <c r="O105" s="110">
        <v>80</v>
      </c>
      <c r="P105" s="111">
        <f t="shared" si="2"/>
        <v>27</v>
      </c>
      <c r="Q105" s="111">
        <f t="shared" si="3"/>
        <v>40.004353402469995</v>
      </c>
      <c r="R105" s="111" t="str">
        <f t="shared" si="0"/>
        <v xml:space="preserve"> </v>
      </c>
      <c r="S105" s="62">
        <v>70</v>
      </c>
      <c r="T105" s="115">
        <v>100</v>
      </c>
      <c r="U105" s="116">
        <f t="shared" si="4"/>
        <v>5.2486388108147803</v>
      </c>
      <c r="V105" s="42">
        <f t="shared" si="5"/>
        <v>14.324755519897614</v>
      </c>
      <c r="W105" s="116">
        <f t="shared" si="6"/>
        <v>0</v>
      </c>
      <c r="X105" s="42">
        <f t="shared" si="7"/>
        <v>0</v>
      </c>
      <c r="Y105" s="44">
        <f>($C$75/1000)/(3.1418*(100/2000)^2)</f>
        <v>0.38194665478388173</v>
      </c>
      <c r="Z105" s="117">
        <f t="shared" si="8"/>
        <v>11.33671167341201</v>
      </c>
      <c r="AA105" s="44">
        <f t="shared" si="9"/>
        <v>8.429338992663582E-2</v>
      </c>
      <c r="AB105" s="65">
        <f t="shared" si="10"/>
        <v>14.324755519897614</v>
      </c>
      <c r="AC105" s="62" t="str">
        <f t="shared" si="11"/>
        <v>*</v>
      </c>
      <c r="AD105" s="62">
        <v>2</v>
      </c>
    </row>
    <row r="106" spans="2:30" s="62" customFormat="1" ht="15.75">
      <c r="B106" s="108">
        <v>21125</v>
      </c>
      <c r="C106" s="108">
        <v>45</v>
      </c>
      <c r="D106" s="112">
        <v>3.2959999999999998</v>
      </c>
      <c r="E106" s="112">
        <v>-12.084</v>
      </c>
      <c r="F106" s="112">
        <v>25.783000000000001</v>
      </c>
      <c r="G106" s="112">
        <v>-25.023</v>
      </c>
      <c r="H106" s="112">
        <v>9.0310000000000006</v>
      </c>
      <c r="I106" s="108" t="s">
        <v>32</v>
      </c>
      <c r="J106" s="108"/>
      <c r="K106" s="113">
        <f t="shared" si="1"/>
        <v>14.884354519128182</v>
      </c>
      <c r="L106" s="108">
        <v>0.64</v>
      </c>
      <c r="M106" s="108">
        <v>28</v>
      </c>
      <c r="N106" s="108"/>
      <c r="O106" s="110">
        <v>100</v>
      </c>
      <c r="P106" s="111">
        <f t="shared" si="2"/>
        <v>28</v>
      </c>
      <c r="Q106" s="111">
        <f t="shared" si="3"/>
        <v>40.700124129280006</v>
      </c>
      <c r="R106" s="111" t="str">
        <f t="shared" si="0"/>
        <v xml:space="preserve"> </v>
      </c>
      <c r="S106" s="62">
        <v>70</v>
      </c>
      <c r="T106" s="115">
        <v>125</v>
      </c>
      <c r="U106" s="116">
        <f t="shared" si="4"/>
        <v>3.8490017945975055</v>
      </c>
      <c r="V106" s="42">
        <f t="shared" si="5"/>
        <v>11.037692431959147</v>
      </c>
      <c r="W106" s="116">
        <f t="shared" si="6"/>
        <v>0</v>
      </c>
      <c r="X106" s="42">
        <f t="shared" si="7"/>
        <v>0</v>
      </c>
      <c r="Y106" s="44">
        <f>($C$75/1000)/(3.1418*(125/2000)^2)</f>
        <v>0.2444458590616844</v>
      </c>
      <c r="Z106" s="117">
        <f t="shared" si="8"/>
        <v>14.884354519128182</v>
      </c>
      <c r="AA106" s="44">
        <f t="shared" si="9"/>
        <v>4.5331111916101972E-2</v>
      </c>
      <c r="AB106" s="65">
        <f t="shared" si="10"/>
        <v>11.037692431959147</v>
      </c>
      <c r="AC106" s="62" t="str">
        <f t="shared" si="11"/>
        <v>*</v>
      </c>
      <c r="AD106" s="62">
        <v>2</v>
      </c>
    </row>
    <row r="107" spans="2:30" s="62" customFormat="1" ht="15.75">
      <c r="B107" s="108">
        <v>21150</v>
      </c>
      <c r="C107" s="108">
        <v>58</v>
      </c>
      <c r="D107" s="112">
        <v>2.8769999999999998</v>
      </c>
      <c r="E107" s="112">
        <v>-9.9730000000000008</v>
      </c>
      <c r="F107" s="112">
        <v>20.721</v>
      </c>
      <c r="G107" s="112">
        <v>-19.882999999999999</v>
      </c>
      <c r="H107" s="112">
        <v>7.2619999999999996</v>
      </c>
      <c r="I107" s="108" t="s">
        <v>33</v>
      </c>
      <c r="J107" s="108"/>
      <c r="K107" s="113">
        <f t="shared" si="1"/>
        <v>18.579072532699168</v>
      </c>
      <c r="L107" s="108">
        <v>0.64</v>
      </c>
      <c r="M107" s="108">
        <v>28</v>
      </c>
      <c r="N107" s="108"/>
      <c r="O107" s="110">
        <v>100</v>
      </c>
      <c r="P107" s="111">
        <f t="shared" si="2"/>
        <v>29</v>
      </c>
      <c r="Q107" s="111">
        <f t="shared" si="3"/>
        <v>41.391183133289985</v>
      </c>
      <c r="R107" s="111" t="str">
        <f t="shared" si="0"/>
        <v xml:space="preserve"> </v>
      </c>
      <c r="S107" s="62">
        <v>70</v>
      </c>
      <c r="T107" s="115">
        <v>150</v>
      </c>
      <c r="U107" s="116">
        <f t="shared" si="4"/>
        <v>2.9862944958084094</v>
      </c>
      <c r="V107" s="42">
        <f t="shared" si="5"/>
        <v>7.7558010045015768</v>
      </c>
      <c r="W107" s="116">
        <f t="shared" si="6"/>
        <v>0</v>
      </c>
      <c r="X107" s="42">
        <f t="shared" si="7"/>
        <v>0</v>
      </c>
      <c r="Y107" s="44">
        <f>($C$75/1000)/(3.1418*(150/2000)^2)</f>
        <v>0.16975406879283642</v>
      </c>
      <c r="Z107" s="117">
        <f t="shared" si="8"/>
        <v>18.579072532699168</v>
      </c>
      <c r="AA107" s="44">
        <f t="shared" si="9"/>
        <v>2.7287604527380056E-2</v>
      </c>
      <c r="AB107" s="65">
        <f t="shared" si="10"/>
        <v>7.7558010045015768</v>
      </c>
      <c r="AC107" s="62" t="str">
        <f t="shared" si="11"/>
        <v>*</v>
      </c>
      <c r="AD107" s="62">
        <v>2</v>
      </c>
    </row>
    <row r="108" spans="2:30" s="62" customFormat="1" ht="15.75">
      <c r="B108" s="108">
        <v>21200</v>
      </c>
      <c r="C108" s="108">
        <v>133</v>
      </c>
      <c r="D108" s="112">
        <v>3.234</v>
      </c>
      <c r="E108" s="112">
        <v>-12.832000000000001</v>
      </c>
      <c r="F108" s="112">
        <v>28.414000000000001</v>
      </c>
      <c r="G108" s="112">
        <v>-28.829000000000001</v>
      </c>
      <c r="H108" s="112">
        <v>11.015000000000001</v>
      </c>
      <c r="I108" s="108" t="s">
        <v>33</v>
      </c>
      <c r="J108" s="108"/>
      <c r="K108" s="113">
        <f t="shared" si="1"/>
        <v>11.166875696621112</v>
      </c>
      <c r="L108" s="108">
        <v>2</v>
      </c>
      <c r="M108" s="108">
        <v>43</v>
      </c>
      <c r="N108" s="108"/>
      <c r="O108" s="110">
        <v>150</v>
      </c>
      <c r="P108" s="111">
        <f t="shared" si="2"/>
        <v>30</v>
      </c>
      <c r="Q108" s="111">
        <f t="shared" si="3"/>
        <v>42.080222999999997</v>
      </c>
      <c r="R108" s="111" t="str">
        <f t="shared" si="0"/>
        <v xml:space="preserve"> </v>
      </c>
      <c r="S108" s="62">
        <v>70</v>
      </c>
      <c r="T108" s="115">
        <v>200</v>
      </c>
      <c r="U108" s="116">
        <f t="shared" si="4"/>
        <v>1.3022938402773516</v>
      </c>
      <c r="V108" s="42">
        <f t="shared" si="5"/>
        <v>4.0001846561371348</v>
      </c>
      <c r="W108" s="116">
        <f t="shared" si="6"/>
        <v>0</v>
      </c>
      <c r="X108" s="42">
        <f t="shared" si="7"/>
        <v>0</v>
      </c>
      <c r="Y108" s="44">
        <f>($C$75/1000)/(3.1418*(200/2000)^2)</f>
        <v>9.5486663695970433E-2</v>
      </c>
      <c r="Z108" s="117">
        <f t="shared" si="8"/>
        <v>11.166875696621112</v>
      </c>
      <c r="AA108" s="44">
        <f t="shared" si="9"/>
        <v>5.189411590825168E-3</v>
      </c>
      <c r="AB108" s="65">
        <f t="shared" si="10"/>
        <v>4.0001846561371348</v>
      </c>
      <c r="AC108" s="62" t="str">
        <f t="shared" si="11"/>
        <v>*</v>
      </c>
      <c r="AD108" s="62">
        <v>2</v>
      </c>
    </row>
    <row r="109" spans="2:30" s="62" customFormat="1" ht="15.75">
      <c r="B109" s="108">
        <v>21250</v>
      </c>
      <c r="C109" s="108">
        <v>222</v>
      </c>
      <c r="D109" s="112">
        <v>3.1739999999999999</v>
      </c>
      <c r="E109" s="112">
        <v>-11.831</v>
      </c>
      <c r="F109" s="112">
        <v>24.445</v>
      </c>
      <c r="G109" s="112">
        <v>-23.213000000000001</v>
      </c>
      <c r="H109" s="112">
        <v>8.4309999999999992</v>
      </c>
      <c r="I109" s="108" t="s">
        <v>33</v>
      </c>
      <c r="J109" s="108"/>
      <c r="K109" s="113">
        <f t="shared" si="1"/>
        <v>9.7851855859863868</v>
      </c>
      <c r="L109" s="108">
        <v>4.8</v>
      </c>
      <c r="M109" s="108">
        <v>57</v>
      </c>
      <c r="N109" s="108"/>
      <c r="O109" s="110">
        <v>200</v>
      </c>
      <c r="P109" s="111">
        <f t="shared" si="2"/>
        <v>31</v>
      </c>
      <c r="Q109" s="111">
        <f t="shared" si="3"/>
        <v>42.769653173709976</v>
      </c>
      <c r="R109" s="111" t="str">
        <f t="shared" si="0"/>
        <v xml:space="preserve"> </v>
      </c>
      <c r="S109" s="62">
        <v>70</v>
      </c>
      <c r="T109" s="115">
        <v>250</v>
      </c>
      <c r="U109" s="116">
        <f t="shared" si="4"/>
        <v>0.7802030664724674</v>
      </c>
      <c r="V109" s="42">
        <f t="shared" si="5"/>
        <v>2.4054996171649305</v>
      </c>
      <c r="W109" s="116">
        <f t="shared" si="6"/>
        <v>0</v>
      </c>
      <c r="X109" s="42">
        <f t="shared" si="7"/>
        <v>0</v>
      </c>
      <c r="Y109" s="44">
        <f>($C$75/1000)/(3.1418*(250/2000)^2)</f>
        <v>6.1111464765421099E-2</v>
      </c>
      <c r="Z109" s="117">
        <f t="shared" si="8"/>
        <v>9.7851855859863868</v>
      </c>
      <c r="AA109" s="44">
        <f t="shared" si="9"/>
        <v>1.8625822098471407E-3</v>
      </c>
      <c r="AB109" s="65">
        <f t="shared" si="10"/>
        <v>2.4054996171649305</v>
      </c>
      <c r="AC109" s="62" t="str">
        <f t="shared" si="11"/>
        <v>*</v>
      </c>
      <c r="AD109" s="62">
        <v>2</v>
      </c>
    </row>
    <row r="110" spans="2:30" s="62" customFormat="1" ht="15.75">
      <c r="B110" s="108">
        <v>21300</v>
      </c>
      <c r="C110" s="108">
        <v>359</v>
      </c>
      <c r="D110" s="112">
        <v>2.944</v>
      </c>
      <c r="E110" s="112">
        <v>-11.105</v>
      </c>
      <c r="F110" s="112">
        <v>23.03</v>
      </c>
      <c r="G110" s="112">
        <v>-21.896000000000001</v>
      </c>
      <c r="H110" s="112">
        <v>8.032</v>
      </c>
      <c r="I110" s="108" t="s">
        <v>33</v>
      </c>
      <c r="J110" s="108"/>
      <c r="K110" s="113">
        <f t="shared" si="1"/>
        <v>7.7590955998168853</v>
      </c>
      <c r="L110" s="108">
        <v>9.5</v>
      </c>
      <c r="M110" s="108">
        <v>71</v>
      </c>
      <c r="N110" s="108"/>
      <c r="O110" s="110">
        <v>250</v>
      </c>
      <c r="P110" s="111">
        <f t="shared" si="2"/>
        <v>32</v>
      </c>
      <c r="Q110" s="111">
        <f t="shared" si="3"/>
        <v>43.461610782720008</v>
      </c>
      <c r="R110" s="111" t="str">
        <f t="shared" si="0"/>
        <v xml:space="preserve"> </v>
      </c>
      <c r="S110" s="62">
        <v>70</v>
      </c>
      <c r="T110" s="115">
        <v>300</v>
      </c>
      <c r="U110" s="116">
        <f t="shared" si="4"/>
        <v>0.48246540600804388</v>
      </c>
      <c r="V110" s="42">
        <f t="shared" si="5"/>
        <v>1.3947861820850318</v>
      </c>
      <c r="W110" s="116">
        <f t="shared" si="6"/>
        <v>0</v>
      </c>
      <c r="X110" s="42">
        <f t="shared" si="7"/>
        <v>0</v>
      </c>
      <c r="Y110" s="44">
        <f>($C$75/1000)/(3.1418*(300/2000)^2)</f>
        <v>4.2438517198209104E-2</v>
      </c>
      <c r="Z110" s="117">
        <f t="shared" si="8"/>
        <v>7.7590955998168853</v>
      </c>
      <c r="AA110" s="44">
        <f t="shared" si="9"/>
        <v>7.1225007278114319E-4</v>
      </c>
      <c r="AB110" s="65">
        <f t="shared" si="10"/>
        <v>1.3947861820850318</v>
      </c>
      <c r="AC110" s="62" t="str">
        <f t="shared" si="11"/>
        <v>*</v>
      </c>
      <c r="AD110" s="62">
        <v>2</v>
      </c>
    </row>
    <row r="111" spans="2:30" s="62" customFormat="1" ht="15.75">
      <c r="B111" s="108">
        <v>21350</v>
      </c>
      <c r="C111" s="108">
        <v>455</v>
      </c>
      <c r="D111" s="112">
        <v>2.944</v>
      </c>
      <c r="E111" s="112">
        <v>-11.105</v>
      </c>
      <c r="F111" s="112">
        <v>23.03</v>
      </c>
      <c r="G111" s="112">
        <v>-21.896000000000001</v>
      </c>
      <c r="H111" s="112">
        <v>8.032</v>
      </c>
      <c r="I111" s="108" t="s">
        <v>33</v>
      </c>
      <c r="J111" s="108"/>
      <c r="K111" s="113">
        <f t="shared" si="1"/>
        <v>8.9487910000730508</v>
      </c>
      <c r="L111" s="108">
        <v>15.1</v>
      </c>
      <c r="M111" s="108">
        <v>86</v>
      </c>
      <c r="N111" s="108"/>
      <c r="O111" s="110">
        <v>300</v>
      </c>
      <c r="P111" s="111">
        <f t="shared" si="2"/>
        <v>33</v>
      </c>
      <c r="Q111" s="111">
        <f t="shared" si="3"/>
        <v>44.15797146453</v>
      </c>
      <c r="R111" s="111" t="str">
        <f t="shared" si="0"/>
        <v xml:space="preserve"> </v>
      </c>
      <c r="S111" s="62">
        <v>70</v>
      </c>
      <c r="T111" s="115">
        <v>350</v>
      </c>
      <c r="U111" s="116">
        <f t="shared" si="4"/>
        <v>0.38067050715799505</v>
      </c>
      <c r="V111" s="42">
        <f t="shared" si="5"/>
        <v>1.1047282948688455</v>
      </c>
      <c r="W111" s="116">
        <f t="shared" si="6"/>
        <v>0</v>
      </c>
      <c r="X111" s="42">
        <f t="shared" si="7"/>
        <v>0</v>
      </c>
      <c r="Y111" s="44">
        <f>($C$75/1000)/(3.1418*(350/2000)^2)</f>
        <v>3.1179318757867912E-2</v>
      </c>
      <c r="Z111" s="117">
        <f t="shared" si="8"/>
        <v>8.9487910000730508</v>
      </c>
      <c r="AA111" s="44">
        <f t="shared" si="9"/>
        <v>4.4340297852967756E-4</v>
      </c>
      <c r="AB111" s="65">
        <f t="shared" si="10"/>
        <v>1.1047282948688455</v>
      </c>
      <c r="AC111" s="62" t="str">
        <f t="shared" si="11"/>
        <v>*</v>
      </c>
      <c r="AD111" s="62">
        <v>2</v>
      </c>
    </row>
    <row r="112" spans="2:30" s="62" customFormat="1" ht="15.75">
      <c r="B112" s="108">
        <v>21400</v>
      </c>
      <c r="C112" s="108">
        <v>497</v>
      </c>
      <c r="D112" s="112">
        <v>3.26</v>
      </c>
      <c r="E112" s="112">
        <v>-12.715</v>
      </c>
      <c r="F112" s="112">
        <v>25.388000000000002</v>
      </c>
      <c r="G112" s="112">
        <v>-22.457000000000001</v>
      </c>
      <c r="H112" s="112">
        <v>7.53</v>
      </c>
      <c r="I112" s="108" t="s">
        <v>33</v>
      </c>
      <c r="J112" s="108"/>
      <c r="K112" s="113">
        <f t="shared" si="1"/>
        <v>12.795055350859661</v>
      </c>
      <c r="L112" s="108">
        <v>15.1</v>
      </c>
      <c r="M112" s="108">
        <v>86</v>
      </c>
      <c r="N112" s="108"/>
      <c r="O112" s="110">
        <v>300</v>
      </c>
      <c r="P112" s="111">
        <f t="shared" si="2"/>
        <v>34</v>
      </c>
      <c r="Q112" s="111">
        <f t="shared" si="3"/>
        <v>44.860360191039995</v>
      </c>
      <c r="R112" s="111" t="str">
        <f t="shared" si="0"/>
        <v xml:space="preserve"> </v>
      </c>
      <c r="S112" s="62">
        <v>70</v>
      </c>
      <c r="T112" s="115">
        <v>400</v>
      </c>
      <c r="U112" s="116">
        <f t="shared" si="4"/>
        <v>0.34850116852492508</v>
      </c>
      <c r="V112" s="42">
        <f t="shared" si="5"/>
        <v>1.1207781799788501</v>
      </c>
      <c r="W112" s="116">
        <f t="shared" si="6"/>
        <v>0</v>
      </c>
      <c r="X112" s="42">
        <f t="shared" si="7"/>
        <v>0</v>
      </c>
      <c r="Y112" s="44">
        <f>($C$75/1000)/(3.1418*(400/2000)^2)</f>
        <v>2.3871665923992608E-2</v>
      </c>
      <c r="Z112" s="117">
        <f t="shared" si="8"/>
        <v>12.795055350859661</v>
      </c>
      <c r="AA112" s="44">
        <f t="shared" si="9"/>
        <v>3.7162816589721999E-4</v>
      </c>
      <c r="AB112" s="65">
        <f t="shared" si="10"/>
        <v>1.1207781799788501</v>
      </c>
      <c r="AC112" s="62" t="str">
        <f t="shared" si="11"/>
        <v>*</v>
      </c>
      <c r="AD112" s="62">
        <v>2</v>
      </c>
    </row>
    <row r="113" spans="2:30" s="62" customFormat="1" ht="15.75">
      <c r="B113" s="108">
        <v>21500</v>
      </c>
      <c r="C113" s="108">
        <v>847</v>
      </c>
      <c r="D113" s="112">
        <v>3.26</v>
      </c>
      <c r="E113" s="112">
        <v>-12.715</v>
      </c>
      <c r="F113" s="112">
        <v>25.388000000000002</v>
      </c>
      <c r="G113" s="112">
        <v>-22.457000000000001</v>
      </c>
      <c r="H113" s="112">
        <v>7.53</v>
      </c>
      <c r="I113" s="108" t="s">
        <v>32</v>
      </c>
      <c r="J113" s="108"/>
      <c r="K113" s="113">
        <f t="shared" si="1"/>
        <v>10.755439899298795</v>
      </c>
      <c r="L113" s="108">
        <v>36.200000000000003</v>
      </c>
      <c r="M113" s="108">
        <v>114</v>
      </c>
      <c r="N113" s="108"/>
      <c r="O113" s="110">
        <v>400</v>
      </c>
      <c r="P113" s="111">
        <f t="shared" si="2"/>
        <v>35</v>
      </c>
      <c r="Q113" s="111">
        <f t="shared" si="3"/>
        <v>45.57016209375</v>
      </c>
      <c r="R113" s="111" t="str">
        <f t="shared" si="0"/>
        <v xml:space="preserve"> </v>
      </c>
      <c r="S113" s="62">
        <v>70</v>
      </c>
      <c r="T113" s="115">
        <v>500</v>
      </c>
      <c r="U113" s="116">
        <f t="shared" si="4"/>
        <v>0.20449242120057587</v>
      </c>
      <c r="V113" s="42">
        <f t="shared" si="5"/>
        <v>0.6613499132224252</v>
      </c>
      <c r="W113" s="116">
        <f t="shared" si="6"/>
        <v>0</v>
      </c>
      <c r="X113" s="42">
        <f t="shared" si="7"/>
        <v>0</v>
      </c>
      <c r="Y113" s="44">
        <f>($C$75/1000)/(3.1418*(500/2000)^2)</f>
        <v>1.5277866191355275E-2</v>
      </c>
      <c r="Z113" s="117">
        <f t="shared" si="8"/>
        <v>10.755439899298795</v>
      </c>
      <c r="AA113" s="44">
        <f t="shared" si="9"/>
        <v>1.279542097047939E-4</v>
      </c>
      <c r="AB113" s="65">
        <f t="shared" si="10"/>
        <v>0.6613499132224252</v>
      </c>
      <c r="AC113" s="62" t="str">
        <f t="shared" si="11"/>
        <v>*</v>
      </c>
      <c r="AD113" s="62">
        <v>2</v>
      </c>
    </row>
    <row r="114" spans="2:30" s="62" customFormat="1" ht="15.75">
      <c r="B114" s="108">
        <v>21600</v>
      </c>
      <c r="C114" s="108">
        <v>895</v>
      </c>
      <c r="D114" s="112">
        <v>3.26</v>
      </c>
      <c r="E114" s="112">
        <v>-12.715</v>
      </c>
      <c r="F114" s="112">
        <v>25.388000000000002</v>
      </c>
      <c r="G114" s="112">
        <v>-22.457000000000001</v>
      </c>
      <c r="H114" s="112">
        <v>7.53</v>
      </c>
      <c r="I114" s="108" t="s">
        <v>32</v>
      </c>
      <c r="J114" s="108"/>
      <c r="K114" s="113">
        <f t="shared" si="1"/>
        <v>19.97440779001904</v>
      </c>
      <c r="L114" s="108">
        <v>36.200000000000003</v>
      </c>
      <c r="M114" s="108">
        <v>114</v>
      </c>
      <c r="N114" s="108"/>
      <c r="O114" s="110">
        <v>400</v>
      </c>
      <c r="P114" s="111">
        <f t="shared" si="2"/>
        <v>36</v>
      </c>
      <c r="Q114" s="111">
        <f t="shared" si="3"/>
        <v>46.288533288959989</v>
      </c>
      <c r="R114" s="111" t="str">
        <f t="shared" si="0"/>
        <v xml:space="preserve"> </v>
      </c>
      <c r="S114" s="62">
        <v>70</v>
      </c>
      <c r="T114" s="115">
        <v>600</v>
      </c>
      <c r="U114" s="116">
        <f t="shared" si="4"/>
        <v>0.19352522989596396</v>
      </c>
      <c r="V114" s="42">
        <f t="shared" si="5"/>
        <v>0.62614859531794553</v>
      </c>
      <c r="W114" s="116">
        <f t="shared" si="6"/>
        <v>0</v>
      </c>
      <c r="X114" s="42">
        <f t="shared" si="7"/>
        <v>0</v>
      </c>
      <c r="Y114" s="44">
        <f>($C$75/1000)/(3.1418*(600/2000)^2)</f>
        <v>1.0609629299552276E-2</v>
      </c>
      <c r="Z114" s="117">
        <f t="shared" si="8"/>
        <v>19.97440779001904</v>
      </c>
      <c r="AA114" s="44">
        <f t="shared" si="9"/>
        <v>1.1459754892806906E-4</v>
      </c>
      <c r="AB114" s="65">
        <f t="shared" si="10"/>
        <v>0.62614859531794553</v>
      </c>
      <c r="AC114" s="62" t="str">
        <f t="shared" si="11"/>
        <v>*</v>
      </c>
      <c r="AD114" s="62">
        <v>2</v>
      </c>
    </row>
    <row r="115" spans="2:30" s="62" customFormat="1" ht="15.75">
      <c r="B115" s="108">
        <v>21700</v>
      </c>
      <c r="C115" s="108">
        <v>1748</v>
      </c>
      <c r="D115" s="112">
        <v>2.4900000000000002</v>
      </c>
      <c r="E115" s="112">
        <v>-9.9260000000000002</v>
      </c>
      <c r="F115" s="112">
        <v>23.417000000000002</v>
      </c>
      <c r="G115" s="112">
        <v>-24.916</v>
      </c>
      <c r="H115" s="112">
        <v>9.9380000000000006</v>
      </c>
      <c r="I115" s="108" t="s">
        <v>33</v>
      </c>
      <c r="J115" s="108"/>
      <c r="K115" s="113">
        <f t="shared" si="1"/>
        <v>9.7011737862696226</v>
      </c>
      <c r="L115" s="108">
        <v>125</v>
      </c>
      <c r="M115" s="108">
        <v>155</v>
      </c>
      <c r="N115" s="108"/>
      <c r="O115" s="110">
        <v>600</v>
      </c>
      <c r="P115" s="111">
        <f t="shared" si="2"/>
        <v>37</v>
      </c>
      <c r="Q115" s="111">
        <f t="shared" si="3"/>
        <v>47.016411702969982</v>
      </c>
      <c r="R115" s="111" t="str">
        <f t="shared" si="0"/>
        <v xml:space="preserve"> </v>
      </c>
      <c r="S115" s="62">
        <v>70</v>
      </c>
      <c r="T115" s="115">
        <v>700</v>
      </c>
      <c r="U115" s="116">
        <f t="shared" si="4"/>
        <v>9.9087574803711526E-2</v>
      </c>
      <c r="V115" s="42">
        <f t="shared" si="5"/>
        <v>0.24575576787366962</v>
      </c>
      <c r="W115" s="116">
        <f t="shared" si="6"/>
        <v>0</v>
      </c>
      <c r="X115" s="42">
        <f t="shared" si="7"/>
        <v>0</v>
      </c>
      <c r="Y115" s="44">
        <f>($C$75/1000)/(3.1418*(700/2000)^2)</f>
        <v>7.7948296894669779E-3</v>
      </c>
      <c r="Z115" s="117">
        <f t="shared" si="8"/>
        <v>9.7011737862696226</v>
      </c>
      <c r="AA115" s="44">
        <f t="shared" si="9"/>
        <v>3.0042671071648576E-5</v>
      </c>
      <c r="AB115" s="65">
        <f t="shared" si="10"/>
        <v>0.24575576787366962</v>
      </c>
      <c r="AC115" s="62" t="str">
        <f t="shared" si="11"/>
        <v>*</v>
      </c>
      <c r="AD115" s="62">
        <v>2</v>
      </c>
    </row>
    <row r="116" spans="2:30" s="62" customFormat="1" ht="15.75">
      <c r="B116" s="108">
        <v>31080</v>
      </c>
      <c r="C116" s="108">
        <v>15.2</v>
      </c>
      <c r="D116" s="112">
        <v>3.2890000000000001</v>
      </c>
      <c r="E116" s="112">
        <v>-11.948</v>
      </c>
      <c r="F116" s="112">
        <v>25.518999999999998</v>
      </c>
      <c r="G116" s="112">
        <v>-24.878</v>
      </c>
      <c r="H116" s="112">
        <v>9.0210000000000008</v>
      </c>
      <c r="I116" s="108" t="s">
        <v>33</v>
      </c>
      <c r="J116" s="108"/>
      <c r="K116" s="113">
        <f t="shared" si="1"/>
        <v>21.887076365377382</v>
      </c>
      <c r="L116" s="108">
        <v>0.12</v>
      </c>
      <c r="M116" s="108">
        <v>15</v>
      </c>
      <c r="N116" s="108"/>
      <c r="O116" s="110">
        <v>50</v>
      </c>
      <c r="P116" s="111">
        <f t="shared" si="2"/>
        <v>38</v>
      </c>
      <c r="Q116" s="111">
        <f t="shared" si="3"/>
        <v>47.75452789728002</v>
      </c>
      <c r="R116" s="111" t="str">
        <f t="shared" si="0"/>
        <v xml:space="preserve"> </v>
      </c>
      <c r="S116" s="62">
        <v>70</v>
      </c>
      <c r="T116" s="115">
        <v>80</v>
      </c>
      <c r="AA116" s="102"/>
      <c r="AD116" s="62" t="s">
        <v>47</v>
      </c>
    </row>
    <row r="117" spans="2:30" s="62" customFormat="1" ht="15.75">
      <c r="B117" s="108">
        <v>31100</v>
      </c>
      <c r="C117" s="108">
        <v>33</v>
      </c>
      <c r="D117" s="112">
        <v>3.2959999999999998</v>
      </c>
      <c r="E117" s="112">
        <v>-12.084</v>
      </c>
      <c r="F117" s="112">
        <v>25.783000000000001</v>
      </c>
      <c r="G117" s="112">
        <v>-25.023</v>
      </c>
      <c r="H117" s="112">
        <v>9.0310000000000006</v>
      </c>
      <c r="I117" s="108" t="s">
        <v>33</v>
      </c>
      <c r="J117" s="108"/>
      <c r="K117" s="113">
        <f t="shared" si="1"/>
        <v>11.33671167341201</v>
      </c>
      <c r="L117" s="108">
        <v>0.3</v>
      </c>
      <c r="M117" s="108">
        <v>20</v>
      </c>
      <c r="N117" s="108"/>
      <c r="O117" s="110">
        <v>80</v>
      </c>
      <c r="P117" s="111">
        <f t="shared" si="2"/>
        <v>39</v>
      </c>
      <c r="Q117" s="111">
        <f t="shared" si="3"/>
        <v>48.503415893789956</v>
      </c>
      <c r="R117" s="111" t="str">
        <f t="shared" si="0"/>
        <v xml:space="preserve"> </v>
      </c>
      <c r="S117" s="62">
        <v>70</v>
      </c>
      <c r="T117" s="115">
        <v>100</v>
      </c>
      <c r="AA117" s="102"/>
      <c r="AD117" s="62" t="s">
        <v>47</v>
      </c>
    </row>
    <row r="118" spans="2:30" s="62" customFormat="1" ht="15.75">
      <c r="B118" s="108">
        <v>31150</v>
      </c>
      <c r="C118" s="108">
        <v>53</v>
      </c>
      <c r="D118" s="112">
        <v>2.8769999999999998</v>
      </c>
      <c r="E118" s="112">
        <v>-9.9730000000000008</v>
      </c>
      <c r="F118" s="112">
        <v>20.721</v>
      </c>
      <c r="G118" s="112">
        <v>-19.882999999999999</v>
      </c>
      <c r="H118" s="112">
        <v>7.2619999999999996</v>
      </c>
      <c r="I118" s="108" t="s">
        <v>33</v>
      </c>
      <c r="J118" s="108"/>
      <c r="K118" s="113">
        <f t="shared" si="1"/>
        <v>22.249911000355997</v>
      </c>
      <c r="L118" s="108">
        <v>0.64</v>
      </c>
      <c r="M118" s="108">
        <v>28</v>
      </c>
      <c r="N118" s="108"/>
      <c r="O118" s="110">
        <v>100</v>
      </c>
      <c r="P118" s="111">
        <f t="shared" si="2"/>
        <v>40</v>
      </c>
      <c r="Q118" s="111">
        <f t="shared" si="3"/>
        <v>49.263423999999965</v>
      </c>
      <c r="R118" s="111" t="str">
        <f t="shared" si="0"/>
        <v xml:space="preserve"> </v>
      </c>
      <c r="S118" s="62">
        <v>70</v>
      </c>
      <c r="T118" s="115">
        <v>150</v>
      </c>
      <c r="AA118" s="102"/>
    </row>
    <row r="119" spans="2:30" s="62" customFormat="1" ht="15.75">
      <c r="B119" s="108">
        <v>31200</v>
      </c>
      <c r="C119" s="108">
        <v>118</v>
      </c>
      <c r="D119" s="112">
        <v>3.234</v>
      </c>
      <c r="E119" s="112">
        <v>-12.832000000000001</v>
      </c>
      <c r="F119" s="112">
        <v>28.414000000000001</v>
      </c>
      <c r="G119" s="112">
        <v>-28.829000000000001</v>
      </c>
      <c r="H119" s="112">
        <v>11.015000000000001</v>
      </c>
      <c r="I119" s="108" t="s">
        <v>33</v>
      </c>
      <c r="J119" s="108"/>
      <c r="K119" s="113">
        <f t="shared" si="1"/>
        <v>14.186359106401239</v>
      </c>
      <c r="L119" s="108">
        <v>2</v>
      </c>
      <c r="M119" s="108">
        <v>43</v>
      </c>
      <c r="N119" s="108"/>
      <c r="O119" s="110">
        <v>150</v>
      </c>
      <c r="P119" s="111">
        <f t="shared" si="2"/>
        <v>41</v>
      </c>
      <c r="Q119" s="111">
        <f t="shared" si="3"/>
        <v>50.034725634209984</v>
      </c>
      <c r="R119" s="111" t="str">
        <f t="shared" si="0"/>
        <v xml:space="preserve"> </v>
      </c>
      <c r="S119" s="62">
        <v>70</v>
      </c>
      <c r="T119" s="115">
        <v>200</v>
      </c>
      <c r="AA119" s="102"/>
    </row>
    <row r="120" spans="2:30" s="62" customFormat="1" ht="15.75">
      <c r="B120" s="108">
        <v>31250</v>
      </c>
      <c r="C120" s="108">
        <v>230</v>
      </c>
      <c r="D120" s="112">
        <v>3.1739999999999999</v>
      </c>
      <c r="E120" s="112">
        <v>-11.831</v>
      </c>
      <c r="F120" s="112">
        <v>24.445</v>
      </c>
      <c r="G120" s="112">
        <v>-23.213000000000001</v>
      </c>
      <c r="H120" s="112">
        <v>8.4309999999999992</v>
      </c>
      <c r="I120" s="108" t="s">
        <v>33</v>
      </c>
      <c r="J120" s="108"/>
      <c r="K120" s="113">
        <f t="shared" si="1"/>
        <v>9.1163154332656546</v>
      </c>
      <c r="L120" s="108">
        <v>4.8</v>
      </c>
      <c r="M120" s="108">
        <v>57</v>
      </c>
      <c r="N120" s="108"/>
      <c r="O120" s="110">
        <v>200</v>
      </c>
      <c r="P120" s="111">
        <f t="shared" si="2"/>
        <v>42</v>
      </c>
      <c r="Q120" s="111">
        <f t="shared" si="3"/>
        <v>50.817330150720018</v>
      </c>
      <c r="R120" s="111" t="str">
        <f t="shared" si="0"/>
        <v xml:space="preserve"> </v>
      </c>
      <c r="S120" s="62">
        <v>70</v>
      </c>
      <c r="T120" s="115">
        <v>250</v>
      </c>
      <c r="AA120" s="102"/>
    </row>
    <row r="121" spans="2:30" s="62" customFormat="1" ht="15.75">
      <c r="B121" s="108">
        <v>31300</v>
      </c>
      <c r="C121" s="108">
        <v>358</v>
      </c>
      <c r="D121" s="112">
        <v>2.944</v>
      </c>
      <c r="E121" s="112">
        <v>-11.105</v>
      </c>
      <c r="F121" s="112">
        <v>23.03</v>
      </c>
      <c r="G121" s="112">
        <v>-21.896000000000001</v>
      </c>
      <c r="H121" s="112">
        <v>8.032</v>
      </c>
      <c r="I121" s="108" t="s">
        <v>33</v>
      </c>
      <c r="J121" s="108"/>
      <c r="K121" s="113">
        <f t="shared" si="1"/>
        <v>7.8025030429761868</v>
      </c>
      <c r="L121" s="108">
        <v>9.5</v>
      </c>
      <c r="M121" s="108">
        <v>71</v>
      </c>
      <c r="N121" s="108"/>
      <c r="O121" s="110">
        <v>250</v>
      </c>
      <c r="P121" s="111">
        <f t="shared" si="2"/>
        <v>43</v>
      </c>
      <c r="Q121" s="111">
        <f t="shared" si="3"/>
        <v>51.611093665030026</v>
      </c>
      <c r="R121" s="111" t="str">
        <f t="shared" si="0"/>
        <v xml:space="preserve"> </v>
      </c>
      <c r="S121" s="62">
        <v>70</v>
      </c>
      <c r="T121" s="115">
        <v>300</v>
      </c>
      <c r="AA121" s="102"/>
    </row>
    <row r="122" spans="2:30" s="62" customFormat="1" ht="15.75">
      <c r="B122" s="108">
        <v>31400</v>
      </c>
      <c r="C122" s="108">
        <v>520</v>
      </c>
      <c r="D122" s="112">
        <v>3.26</v>
      </c>
      <c r="E122" s="112">
        <v>-12.715</v>
      </c>
      <c r="F122" s="112">
        <v>25.388000000000002</v>
      </c>
      <c r="G122" s="112">
        <v>-22.457000000000001</v>
      </c>
      <c r="H122" s="112">
        <v>7.53</v>
      </c>
      <c r="I122" s="108" t="s">
        <v>33</v>
      </c>
      <c r="J122" s="108"/>
      <c r="K122" s="113">
        <f t="shared" si="1"/>
        <v>11.688216816421944</v>
      </c>
      <c r="L122" s="108">
        <v>15.1</v>
      </c>
      <c r="M122" s="108">
        <v>86</v>
      </c>
      <c r="N122" s="108"/>
      <c r="O122" s="110">
        <v>300</v>
      </c>
      <c r="P122" s="111">
        <f t="shared" si="2"/>
        <v>44</v>
      </c>
      <c r="Q122" s="111">
        <f t="shared" si="3"/>
        <v>52.415729879039972</v>
      </c>
      <c r="R122" s="111" t="str">
        <f t="shared" si="0"/>
        <v xml:space="preserve"> </v>
      </c>
      <c r="S122" s="62">
        <v>70</v>
      </c>
      <c r="T122" s="115">
        <v>400</v>
      </c>
      <c r="AA122" s="102"/>
    </row>
    <row r="123" spans="2:30" s="62" customFormat="1" ht="15.75">
      <c r="B123" s="108">
        <v>31500</v>
      </c>
      <c r="C123" s="108">
        <v>840</v>
      </c>
      <c r="D123" s="112">
        <v>3.26</v>
      </c>
      <c r="E123" s="112">
        <v>-12.715</v>
      </c>
      <c r="F123" s="112">
        <v>25.388000000000002</v>
      </c>
      <c r="G123" s="112">
        <v>-22.457000000000001</v>
      </c>
      <c r="H123" s="112">
        <v>7.53</v>
      </c>
      <c r="I123" s="108" t="s">
        <v>32</v>
      </c>
      <c r="J123" s="108"/>
      <c r="K123" s="113">
        <f t="shared" si="1"/>
        <v>10.935444136502337</v>
      </c>
      <c r="L123" s="108">
        <v>36.200000000000003</v>
      </c>
      <c r="M123" s="108">
        <v>114</v>
      </c>
      <c r="N123" s="108"/>
      <c r="O123" s="110">
        <v>400</v>
      </c>
      <c r="P123" s="111">
        <f t="shared" si="2"/>
        <v>45</v>
      </c>
      <c r="Q123" s="111">
        <f t="shared" si="3"/>
        <v>53.230820906249946</v>
      </c>
      <c r="R123" s="111" t="str">
        <f t="shared" si="0"/>
        <v xml:space="preserve"> </v>
      </c>
      <c r="S123" s="62">
        <v>70</v>
      </c>
      <c r="T123" s="115">
        <v>500</v>
      </c>
      <c r="AA123" s="102"/>
    </row>
    <row r="124" spans="2:30" s="62" customFormat="1" ht="15.75">
      <c r="B124" s="108">
        <v>31600</v>
      </c>
      <c r="C124" s="108">
        <v>860</v>
      </c>
      <c r="D124" s="112">
        <v>3.26</v>
      </c>
      <c r="E124" s="112">
        <v>-12.715</v>
      </c>
      <c r="F124" s="112">
        <v>25.388000000000002</v>
      </c>
      <c r="G124" s="112">
        <v>-22.457000000000001</v>
      </c>
      <c r="H124" s="112">
        <v>7.53</v>
      </c>
      <c r="I124" s="108" t="s">
        <v>32</v>
      </c>
      <c r="J124" s="108"/>
      <c r="K124" s="113">
        <f t="shared" si="1"/>
        <v>21.63331530557058</v>
      </c>
      <c r="L124" s="108">
        <v>36.200000000000003</v>
      </c>
      <c r="M124" s="108">
        <v>114</v>
      </c>
      <c r="N124" s="108"/>
      <c r="O124" s="110">
        <v>400</v>
      </c>
      <c r="P124" s="111">
        <f t="shared" si="2"/>
        <v>46</v>
      </c>
      <c r="Q124" s="111">
        <f t="shared" si="3"/>
        <v>54.055828096959992</v>
      </c>
      <c r="R124" s="111" t="str">
        <f t="shared" si="0"/>
        <v xml:space="preserve"> </v>
      </c>
      <c r="S124" s="62">
        <v>70</v>
      </c>
      <c r="T124" s="115">
        <v>600</v>
      </c>
      <c r="AA124" s="102"/>
    </row>
    <row r="125" spans="2:30" s="62" customFormat="1" ht="15.75">
      <c r="B125" s="108">
        <v>32100</v>
      </c>
      <c r="C125" s="108">
        <v>33</v>
      </c>
      <c r="D125" s="112">
        <v>3.2959999999999998</v>
      </c>
      <c r="E125" s="112">
        <v>-12.084</v>
      </c>
      <c r="F125" s="112">
        <v>25.783000000000001</v>
      </c>
      <c r="G125" s="112">
        <v>-25.023</v>
      </c>
      <c r="H125" s="112">
        <v>9.0310000000000006</v>
      </c>
      <c r="I125" s="108" t="s">
        <v>32</v>
      </c>
      <c r="J125" s="108"/>
      <c r="K125" s="113">
        <f t="shared" si="1"/>
        <v>11.33671167341201</v>
      </c>
      <c r="L125" s="108">
        <v>0.3</v>
      </c>
      <c r="M125" s="108">
        <v>20</v>
      </c>
      <c r="N125" s="108"/>
      <c r="O125" s="110">
        <v>80</v>
      </c>
      <c r="P125" s="111">
        <f t="shared" si="2"/>
        <v>47</v>
      </c>
      <c r="Q125" s="111">
        <f t="shared" si="3"/>
        <v>54.890102863470005</v>
      </c>
      <c r="R125" s="111" t="str">
        <f t="shared" si="0"/>
        <v xml:space="preserve"> </v>
      </c>
      <c r="S125" s="62">
        <v>70</v>
      </c>
      <c r="T125" s="115">
        <v>100</v>
      </c>
      <c r="AA125" s="102"/>
    </row>
    <row r="126" spans="2:30" s="62" customFormat="1" ht="15.75">
      <c r="B126" s="108">
        <v>32150</v>
      </c>
      <c r="C126" s="108">
        <v>56</v>
      </c>
      <c r="D126" s="112">
        <v>2.8769999999999998</v>
      </c>
      <c r="E126" s="112">
        <v>-9.9730000000000008</v>
      </c>
      <c r="F126" s="112">
        <v>20.721</v>
      </c>
      <c r="G126" s="112">
        <v>-19.882999999999999</v>
      </c>
      <c r="H126" s="112">
        <v>7.2619999999999996</v>
      </c>
      <c r="I126" s="108" t="s">
        <v>32</v>
      </c>
      <c r="J126" s="108"/>
      <c r="K126" s="113">
        <f t="shared" si="1"/>
        <v>19.929846938775512</v>
      </c>
      <c r="L126" s="108">
        <v>0.64</v>
      </c>
      <c r="M126" s="108">
        <v>28</v>
      </c>
      <c r="N126" s="108"/>
      <c r="O126" s="110">
        <v>100</v>
      </c>
      <c r="P126" s="111">
        <f t="shared" si="2"/>
        <v>48</v>
      </c>
      <c r="Q126" s="111">
        <f t="shared" si="3"/>
        <v>55.732897505279986</v>
      </c>
      <c r="R126" s="111" t="str">
        <f t="shared" si="0"/>
        <v xml:space="preserve"> </v>
      </c>
      <c r="S126" s="62">
        <v>70</v>
      </c>
      <c r="T126" s="115">
        <v>150</v>
      </c>
      <c r="AA126" s="102"/>
    </row>
    <row r="127" spans="2:30" s="62" customFormat="1" ht="15.75">
      <c r="B127" s="108">
        <v>32200</v>
      </c>
      <c r="C127" s="108">
        <v>133</v>
      </c>
      <c r="D127" s="112">
        <v>3.234</v>
      </c>
      <c r="E127" s="112">
        <v>-12.832000000000001</v>
      </c>
      <c r="F127" s="112">
        <v>28.414000000000001</v>
      </c>
      <c r="G127" s="112">
        <v>-28.829000000000001</v>
      </c>
      <c r="H127" s="112">
        <v>11.015000000000001</v>
      </c>
      <c r="I127" s="108" t="s">
        <v>32</v>
      </c>
      <c r="J127" s="108"/>
      <c r="K127" s="113">
        <f t="shared" si="1"/>
        <v>11.166875696621112</v>
      </c>
      <c r="L127" s="108">
        <v>2</v>
      </c>
      <c r="M127" s="108">
        <v>43</v>
      </c>
      <c r="N127" s="108"/>
      <c r="O127" s="110">
        <v>150</v>
      </c>
      <c r="P127" s="111">
        <f t="shared" si="2"/>
        <v>49</v>
      </c>
      <c r="Q127" s="111">
        <f t="shared" si="3"/>
        <v>56.583376034289969</v>
      </c>
      <c r="R127" s="111" t="str">
        <f t="shared" si="0"/>
        <v xml:space="preserve"> </v>
      </c>
      <c r="S127" s="62">
        <v>70</v>
      </c>
      <c r="T127" s="115">
        <v>200</v>
      </c>
      <c r="AA127" s="102"/>
    </row>
    <row r="128" spans="2:30" s="62" customFormat="1" ht="13.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18"/>
      <c r="P128" s="111">
        <f t="shared" si="2"/>
        <v>50</v>
      </c>
      <c r="Q128" s="111">
        <f t="shared" si="3"/>
        <v>57.440624999999976</v>
      </c>
      <c r="R128" s="111" t="str">
        <f t="shared" si="0"/>
        <v xml:space="preserve"> </v>
      </c>
      <c r="S128" s="62">
        <v>70</v>
      </c>
      <c r="AA128" s="102"/>
    </row>
    <row r="129" spans="1:27" s="62" customFormat="1" ht="13.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18"/>
      <c r="P129" s="111">
        <f t="shared" si="2"/>
        <v>51</v>
      </c>
      <c r="Q129" s="111">
        <f t="shared" si="3"/>
        <v>58.303664314709955</v>
      </c>
      <c r="R129" s="111" t="str">
        <f t="shared" si="0"/>
        <v xml:space="preserve"> </v>
      </c>
      <c r="S129" s="62">
        <v>70</v>
      </c>
      <c r="AA129" s="102"/>
    </row>
    <row r="130" spans="1:27" s="62" customFormat="1" ht="13.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18"/>
      <c r="P130" s="111">
        <f t="shared" si="2"/>
        <v>52</v>
      </c>
      <c r="Q130" s="111">
        <f t="shared" si="3"/>
        <v>59.171458078719944</v>
      </c>
      <c r="R130" s="111" t="str">
        <f t="shared" si="0"/>
        <v xml:space="preserve"> </v>
      </c>
      <c r="S130" s="62">
        <v>70</v>
      </c>
      <c r="AA130" s="102"/>
    </row>
    <row r="131" spans="1:27" s="62" customFormat="1" ht="13.5">
      <c r="A131" s="114"/>
      <c r="B131" s="103">
        <v>32</v>
      </c>
      <c r="C131" s="100">
        <v>1</v>
      </c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18"/>
      <c r="P131" s="111">
        <f t="shared" si="2"/>
        <v>53</v>
      </c>
      <c r="Q131" s="111">
        <f t="shared" si="3"/>
        <v>60.042925405529971</v>
      </c>
      <c r="R131" s="111" t="str">
        <f t="shared" si="0"/>
        <v xml:space="preserve"> </v>
      </c>
      <c r="S131" s="62">
        <v>70</v>
      </c>
      <c r="AA131" s="102"/>
    </row>
    <row r="132" spans="1:27" s="62" customFormat="1" ht="13.5">
      <c r="A132" s="114"/>
      <c r="B132" s="103">
        <v>40</v>
      </c>
      <c r="C132" s="100">
        <v>2</v>
      </c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18"/>
      <c r="P132" s="111">
        <f t="shared" si="2"/>
        <v>54</v>
      </c>
      <c r="Q132" s="111">
        <f t="shared" si="3"/>
        <v>60.916951247039997</v>
      </c>
      <c r="R132" s="111" t="str">
        <f t="shared" si="0"/>
        <v xml:space="preserve"> </v>
      </c>
      <c r="S132" s="62">
        <v>70</v>
      </c>
      <c r="AA132" s="102"/>
    </row>
    <row r="133" spans="1:27" s="62" customFormat="1" ht="13.5">
      <c r="A133" s="114"/>
      <c r="B133" s="103">
        <v>50</v>
      </c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18"/>
      <c r="P133" s="111">
        <f t="shared" si="2"/>
        <v>55</v>
      </c>
      <c r="Q133" s="111">
        <f t="shared" si="3"/>
        <v>61.792397218750018</v>
      </c>
      <c r="R133" s="111" t="str">
        <f t="shared" si="0"/>
        <v xml:space="preserve"> </v>
      </c>
      <c r="S133" s="62">
        <v>70</v>
      </c>
      <c r="AA133" s="102"/>
    </row>
    <row r="134" spans="1:27" s="62" customFormat="1" ht="13.5">
      <c r="A134" s="114"/>
      <c r="B134" s="103">
        <v>65</v>
      </c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18"/>
      <c r="P134" s="111">
        <f t="shared" si="2"/>
        <v>56</v>
      </c>
      <c r="Q134" s="111">
        <f t="shared" si="3"/>
        <v>62.66811242496</v>
      </c>
      <c r="R134" s="111" t="str">
        <f t="shared" si="0"/>
        <v xml:space="preserve"> </v>
      </c>
      <c r="S134" s="62">
        <v>70</v>
      </c>
      <c r="AA134" s="102"/>
    </row>
    <row r="135" spans="1:27" s="62" customFormat="1" ht="13.5">
      <c r="A135" s="114"/>
      <c r="B135" s="103">
        <v>80</v>
      </c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18"/>
      <c r="P135" s="111">
        <f t="shared" si="2"/>
        <v>57</v>
      </c>
      <c r="Q135" s="111">
        <f t="shared" si="3"/>
        <v>63.54294428396998</v>
      </c>
      <c r="R135" s="111" t="str">
        <f t="shared" si="0"/>
        <v xml:space="preserve"> </v>
      </c>
      <c r="S135" s="62">
        <v>70</v>
      </c>
      <c r="AA135" s="102"/>
    </row>
    <row r="136" spans="1:27" s="62" customFormat="1" ht="13.5">
      <c r="A136" s="114"/>
      <c r="B136" s="103">
        <v>100</v>
      </c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18"/>
      <c r="P136" s="111">
        <f t="shared" si="2"/>
        <v>58</v>
      </c>
      <c r="Q136" s="111">
        <f t="shared" si="3"/>
        <v>64.415749353279921</v>
      </c>
      <c r="R136" s="111" t="str">
        <f t="shared" si="0"/>
        <v xml:space="preserve"> </v>
      </c>
      <c r="S136" s="62">
        <v>70</v>
      </c>
      <c r="AA136" s="102"/>
    </row>
    <row r="137" spans="1:27" s="62" customFormat="1" ht="13.5">
      <c r="A137" s="114"/>
      <c r="B137" s="103">
        <v>150</v>
      </c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18"/>
      <c r="P137" s="111">
        <f t="shared" si="2"/>
        <v>59</v>
      </c>
      <c r="Q137" s="111">
        <f t="shared" si="3"/>
        <v>65.285404154789973</v>
      </c>
      <c r="R137" s="111" t="str">
        <f t="shared" si="0"/>
        <v xml:space="preserve"> </v>
      </c>
      <c r="S137" s="62">
        <v>70</v>
      </c>
      <c r="AA137" s="102"/>
    </row>
    <row r="138" spans="1:27" s="62" customFormat="1" ht="13.5">
      <c r="A138" s="114"/>
      <c r="B138" s="103">
        <v>200</v>
      </c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18"/>
      <c r="P138" s="111">
        <f t="shared" si="2"/>
        <v>60</v>
      </c>
      <c r="Q138" s="111">
        <f t="shared" si="3"/>
        <v>66.150815999999963</v>
      </c>
      <c r="R138" s="111" t="str">
        <f t="shared" si="0"/>
        <v xml:space="preserve"> </v>
      </c>
      <c r="S138" s="62">
        <v>70</v>
      </c>
      <c r="AA138" s="102"/>
    </row>
    <row r="139" spans="1:27" s="62" customFormat="1" ht="13.5">
      <c r="A139" s="114"/>
      <c r="B139" s="103">
        <v>250</v>
      </c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18"/>
      <c r="P139" s="111">
        <f t="shared" si="2"/>
        <v>61</v>
      </c>
      <c r="Q139" s="111">
        <f t="shared" si="3"/>
        <v>67.010933815210009</v>
      </c>
      <c r="R139" s="111" t="str">
        <f t="shared" si="0"/>
        <v xml:space="preserve"> </v>
      </c>
      <c r="S139" s="62">
        <v>70</v>
      </c>
      <c r="AA139" s="102"/>
    </row>
    <row r="140" spans="1:27" s="62" customFormat="1" ht="13.5">
      <c r="A140" s="114"/>
      <c r="B140" s="103">
        <v>300</v>
      </c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18"/>
      <c r="P140" s="111">
        <f t="shared" si="2"/>
        <v>62</v>
      </c>
      <c r="Q140" s="111">
        <f t="shared" si="3"/>
        <v>67.864758966719847</v>
      </c>
      <c r="R140" s="111" t="str">
        <f t="shared" si="0"/>
        <v xml:space="preserve"> </v>
      </c>
      <c r="S140" s="62">
        <v>70</v>
      </c>
      <c r="AA140" s="102"/>
    </row>
    <row r="141" spans="1:27" s="62" customFormat="1" ht="13.5">
      <c r="A141" s="114"/>
      <c r="B141" s="103">
        <v>350</v>
      </c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18"/>
      <c r="P141" s="111">
        <f t="shared" si="2"/>
        <v>63</v>
      </c>
      <c r="Q141" s="111">
        <f t="shared" si="3"/>
        <v>68.711356086029909</v>
      </c>
      <c r="R141" s="111" t="str">
        <f t="shared" si="0"/>
        <v xml:space="preserve"> </v>
      </c>
      <c r="S141" s="62">
        <v>70</v>
      </c>
      <c r="AA141" s="102"/>
    </row>
    <row r="142" spans="1:27" s="62" customFormat="1" ht="13.5">
      <c r="A142" s="114"/>
      <c r="B142" s="103">
        <v>400</v>
      </c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18"/>
      <c r="P142" s="111">
        <f t="shared" si="2"/>
        <v>64</v>
      </c>
      <c r="Q142" s="111">
        <f t="shared" si="3"/>
        <v>69.54986389504009</v>
      </c>
      <c r="R142" s="111" t="str">
        <f t="shared" ref="R142:R178" si="12">IF(Q142&gt;=C$29,IF(Q142&lt;=D$29,Q142," ")," ")</f>
        <v xml:space="preserve"> </v>
      </c>
      <c r="S142" s="62">
        <v>70</v>
      </c>
      <c r="AA142" s="102"/>
    </row>
    <row r="143" spans="1:27" s="62" customFormat="1" ht="13.5">
      <c r="B143" s="103">
        <v>500</v>
      </c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18"/>
      <c r="P143" s="111">
        <f t="shared" ref="P143:P178" si="13">P142+1</f>
        <v>65</v>
      </c>
      <c r="Q143" s="111">
        <f t="shared" ref="Q143:Q174" si="14">100*(D$76*(P143/100)+E$76*(P143/100)^2+F$76*(P143/100)^3+G$76*(P143/100)^4+H$76*(P143/100)^5)</f>
        <v>70.379506031250031</v>
      </c>
      <c r="R143" s="111" t="str">
        <f t="shared" si="12"/>
        <v xml:space="preserve"> </v>
      </c>
      <c r="S143" s="62">
        <v>70</v>
      </c>
      <c r="AA143" s="102"/>
    </row>
    <row r="144" spans="1:27" s="62" customFormat="1" ht="13.5">
      <c r="B144" s="100">
        <v>600</v>
      </c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18"/>
      <c r="P144" s="111">
        <f t="shared" si="13"/>
        <v>66</v>
      </c>
      <c r="Q144" s="111">
        <f t="shared" si="14"/>
        <v>71.199601872959903</v>
      </c>
      <c r="R144" s="111" t="str">
        <f t="shared" si="12"/>
        <v xml:space="preserve"> </v>
      </c>
      <c r="S144" s="62">
        <v>70</v>
      </c>
      <c r="AA144" s="102"/>
    </row>
    <row r="145" spans="2:27" s="62" customFormat="1" ht="13.5">
      <c r="B145" s="100">
        <v>700</v>
      </c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18"/>
      <c r="P145" s="111">
        <f t="shared" si="13"/>
        <v>67</v>
      </c>
      <c r="Q145" s="111">
        <f t="shared" si="14"/>
        <v>72.009577364469976</v>
      </c>
      <c r="R145" s="111" t="str">
        <f t="shared" si="12"/>
        <v xml:space="preserve"> </v>
      </c>
      <c r="S145" s="62">
        <v>70</v>
      </c>
      <c r="AA145" s="102"/>
    </row>
    <row r="146" spans="2:27" s="62" customFormat="1" ht="13.5">
      <c r="B146" s="100" t="s">
        <v>47</v>
      </c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18"/>
      <c r="P146" s="111">
        <f t="shared" si="13"/>
        <v>68</v>
      </c>
      <c r="Q146" s="111">
        <f t="shared" si="14"/>
        <v>72.808975841280102</v>
      </c>
      <c r="R146" s="111" t="str">
        <f t="shared" si="12"/>
        <v xml:space="preserve"> </v>
      </c>
      <c r="S146" s="62">
        <v>70</v>
      </c>
      <c r="AA146" s="102"/>
    </row>
    <row r="147" spans="2:27" s="62" customFormat="1" ht="13.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18"/>
      <c r="P147" s="111">
        <f t="shared" si="13"/>
        <v>69</v>
      </c>
      <c r="Q147" s="111">
        <f t="shared" si="14"/>
        <v>73.597468855289932</v>
      </c>
      <c r="R147" s="111" t="str">
        <f t="shared" si="12"/>
        <v xml:space="preserve"> </v>
      </c>
      <c r="S147" s="62">
        <v>70</v>
      </c>
      <c r="AA147" s="102"/>
    </row>
    <row r="148" spans="2:27" s="62" customFormat="1" ht="13.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18"/>
      <c r="P148" s="111">
        <f t="shared" si="13"/>
        <v>70</v>
      </c>
      <c r="Q148" s="111">
        <f t="shared" si="14"/>
        <v>74.374867000000023</v>
      </c>
      <c r="R148" s="111" t="str">
        <f t="shared" si="12"/>
        <v xml:space="preserve"> </v>
      </c>
      <c r="S148" s="62">
        <v>70</v>
      </c>
      <c r="AA148" s="102"/>
    </row>
    <row r="149" spans="2:27" s="62" customFormat="1" ht="13.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18"/>
      <c r="P149" s="111">
        <f t="shared" si="13"/>
        <v>71</v>
      </c>
      <c r="Q149" s="111">
        <f t="shared" si="14"/>
        <v>75.141130735709851</v>
      </c>
      <c r="R149" s="111" t="str">
        <f t="shared" si="12"/>
        <v xml:space="preserve"> </v>
      </c>
      <c r="S149" s="62">
        <v>70</v>
      </c>
      <c r="AA149" s="102"/>
    </row>
    <row r="150" spans="2:27" s="62" customFormat="1" ht="13.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18"/>
      <c r="P150" s="111">
        <f t="shared" si="13"/>
        <v>72</v>
      </c>
      <c r="Q150" s="111">
        <f t="shared" si="14"/>
        <v>75.89638121471998</v>
      </c>
      <c r="R150" s="111" t="str">
        <f t="shared" si="12"/>
        <v xml:space="preserve"> </v>
      </c>
      <c r="S150" s="62">
        <v>70</v>
      </c>
      <c r="AA150" s="102"/>
    </row>
    <row r="151" spans="2:27" s="62" customFormat="1" ht="13.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18"/>
      <c r="P151" s="111">
        <f t="shared" si="13"/>
        <v>73</v>
      </c>
      <c r="Q151" s="111">
        <f t="shared" si="14"/>
        <v>76.640911106529956</v>
      </c>
      <c r="R151" s="111" t="str">
        <f t="shared" si="12"/>
        <v xml:space="preserve"> </v>
      </c>
      <c r="S151" s="62">
        <v>70</v>
      </c>
      <c r="AA151" s="102"/>
    </row>
    <row r="152" spans="2:27" s="62" customFormat="1" ht="13.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18"/>
      <c r="P152" s="111">
        <f t="shared" si="13"/>
        <v>74</v>
      </c>
      <c r="Q152" s="111">
        <f t="shared" si="14"/>
        <v>77.375195423039855</v>
      </c>
      <c r="R152" s="111" t="str">
        <f t="shared" si="12"/>
        <v xml:space="preserve"> </v>
      </c>
      <c r="S152" s="62">
        <v>70</v>
      </c>
      <c r="AA152" s="102"/>
    </row>
    <row r="153" spans="2:27" s="55" customFormat="1" ht="13.5"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60"/>
      <c r="P153" s="119">
        <f t="shared" si="13"/>
        <v>75</v>
      </c>
      <c r="Q153" s="119">
        <f t="shared" si="14"/>
        <v>78.099902343749861</v>
      </c>
      <c r="R153" s="119" t="str">
        <f t="shared" si="12"/>
        <v xml:space="preserve"> </v>
      </c>
      <c r="S153" s="55">
        <v>70</v>
      </c>
      <c r="AA153" s="85"/>
    </row>
    <row r="154" spans="2:27" s="55" customFormat="1" ht="13.5"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60"/>
      <c r="P154" s="119">
        <f t="shared" si="13"/>
        <v>76</v>
      </c>
      <c r="Q154" s="119">
        <f t="shared" si="14"/>
        <v>78.815904040960135</v>
      </c>
      <c r="R154" s="119" t="str">
        <f t="shared" si="12"/>
        <v xml:space="preserve"> </v>
      </c>
      <c r="S154" s="55">
        <v>70</v>
      </c>
      <c r="AA154" s="85"/>
    </row>
    <row r="155" spans="2:27" s="55" customFormat="1" ht="13.5"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60"/>
      <c r="P155" s="119">
        <f t="shared" si="13"/>
        <v>77</v>
      </c>
      <c r="Q155" s="119">
        <f t="shared" si="14"/>
        <v>79.524287504970033</v>
      </c>
      <c r="R155" s="119" t="str">
        <f t="shared" si="12"/>
        <v xml:space="preserve"> </v>
      </c>
      <c r="S155" s="55">
        <v>70</v>
      </c>
      <c r="AA155" s="85"/>
    </row>
    <row r="156" spans="2:27" s="55" customFormat="1" ht="13.5"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60"/>
      <c r="P156" s="119">
        <f t="shared" si="13"/>
        <v>78</v>
      </c>
      <c r="Q156" s="119">
        <f t="shared" si="14"/>
        <v>80.226365369279719</v>
      </c>
      <c r="R156" s="119" t="str">
        <f t="shared" si="12"/>
        <v xml:space="preserve"> </v>
      </c>
      <c r="S156" s="55">
        <v>70</v>
      </c>
      <c r="AA156" s="85"/>
    </row>
    <row r="157" spans="2:27" s="55" customFormat="1" ht="13.5"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60"/>
      <c r="P157" s="119">
        <f t="shared" si="13"/>
        <v>79</v>
      </c>
      <c r="Q157" s="119">
        <f t="shared" si="14"/>
        <v>80.923686735789687</v>
      </c>
      <c r="R157" s="119" t="str">
        <f t="shared" si="12"/>
        <v xml:space="preserve"> </v>
      </c>
      <c r="S157" s="55">
        <v>70</v>
      </c>
      <c r="AA157" s="85"/>
    </row>
    <row r="158" spans="2:27" s="55" customFormat="1" ht="13.5"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60"/>
      <c r="P158" s="119">
        <f t="shared" si="13"/>
        <v>80</v>
      </c>
      <c r="Q158" s="119">
        <f t="shared" si="14"/>
        <v>81.61804799999976</v>
      </c>
      <c r="R158" s="119" t="str">
        <f t="shared" si="12"/>
        <v xml:space="preserve"> </v>
      </c>
      <c r="S158" s="55">
        <v>70</v>
      </c>
      <c r="AA158" s="85"/>
    </row>
    <row r="159" spans="2:27" s="55" customFormat="1" ht="13.5"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60"/>
      <c r="P159" s="119">
        <f t="shared" si="13"/>
        <v>81</v>
      </c>
      <c r="Q159" s="119">
        <f t="shared" si="14"/>
        <v>82.311503676210052</v>
      </c>
      <c r="R159" s="119" t="str">
        <f t="shared" si="12"/>
        <v xml:space="preserve"> </v>
      </c>
      <c r="S159" s="55">
        <v>70</v>
      </c>
      <c r="AA159" s="85"/>
    </row>
    <row r="160" spans="2:27" s="55" customFormat="1" ht="13.5"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60"/>
      <c r="P160" s="119">
        <f t="shared" si="13"/>
        <v>82</v>
      </c>
      <c r="Q160" s="119">
        <f t="shared" si="14"/>
        <v>83.006377222719905</v>
      </c>
      <c r="R160" s="119" t="str">
        <f t="shared" si="12"/>
        <v xml:space="preserve"> </v>
      </c>
      <c r="S160" s="55">
        <v>70</v>
      </c>
      <c r="AA160" s="85"/>
    </row>
    <row r="161" spans="2:27" s="55" customFormat="1" ht="13.5"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60"/>
      <c r="P161" s="119">
        <f t="shared" si="13"/>
        <v>83</v>
      </c>
      <c r="Q161" s="119">
        <f t="shared" si="14"/>
        <v>83.705271867029879</v>
      </c>
      <c r="R161" s="119" t="str">
        <f t="shared" si="12"/>
        <v xml:space="preserve"> </v>
      </c>
      <c r="S161" s="55">
        <v>70</v>
      </c>
      <c r="AA161" s="85"/>
    </row>
    <row r="162" spans="2:27" s="55" customFormat="1" ht="13.5"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60"/>
      <c r="P162" s="119">
        <f t="shared" si="13"/>
        <v>84</v>
      </c>
      <c r="Q162" s="119">
        <f t="shared" si="14"/>
        <v>84.411081431040103</v>
      </c>
      <c r="R162" s="119" t="str">
        <f t="shared" si="12"/>
        <v xml:space="preserve"> </v>
      </c>
      <c r="S162" s="55">
        <v>70</v>
      </c>
      <c r="AA162" s="85"/>
    </row>
    <row r="163" spans="2:27" s="55" customFormat="1" ht="13.5"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60"/>
      <c r="P163" s="119">
        <f t="shared" si="13"/>
        <v>85</v>
      </c>
      <c r="Q163" s="119">
        <f t="shared" si="14"/>
        <v>85.127001156249975</v>
      </c>
      <c r="R163" s="119" t="str">
        <f t="shared" si="12"/>
        <v xml:space="preserve"> </v>
      </c>
      <c r="S163" s="55">
        <v>70</v>
      </c>
      <c r="AA163" s="85"/>
    </row>
    <row r="164" spans="2:27" s="55" customFormat="1" ht="13.5"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60"/>
      <c r="P164" s="119">
        <f t="shared" si="13"/>
        <v>86</v>
      </c>
      <c r="Q164" s="119">
        <f t="shared" si="14"/>
        <v>85.856538528960158</v>
      </c>
      <c r="R164" s="119" t="str">
        <f t="shared" si="12"/>
        <v xml:space="preserve"> </v>
      </c>
      <c r="S164" s="55">
        <v>70</v>
      </c>
      <c r="AA164" s="85"/>
    </row>
    <row r="165" spans="2:27" s="55" customFormat="1" ht="13.5"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60"/>
      <c r="P165" s="119">
        <f t="shared" si="13"/>
        <v>87</v>
      </c>
      <c r="Q165" s="119">
        <f t="shared" si="14"/>
        <v>86.603524105469802</v>
      </c>
      <c r="R165" s="119" t="str">
        <f t="shared" si="12"/>
        <v xml:space="preserve"> </v>
      </c>
      <c r="S165" s="55">
        <v>70</v>
      </c>
      <c r="AA165" s="85"/>
    </row>
    <row r="166" spans="2:27" s="55" customFormat="1" ht="13.5"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60"/>
      <c r="P166" s="119">
        <f t="shared" si="13"/>
        <v>88</v>
      </c>
      <c r="Q166" s="119">
        <f t="shared" si="14"/>
        <v>87.372122337279905</v>
      </c>
      <c r="R166" s="119" t="str">
        <f t="shared" si="12"/>
        <v xml:space="preserve"> </v>
      </c>
      <c r="S166" s="55">
        <v>70</v>
      </c>
      <c r="AA166" s="85"/>
    </row>
    <row r="167" spans="2:27" s="55" customFormat="1" ht="13.5"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60"/>
      <c r="P167" s="119">
        <f t="shared" si="13"/>
        <v>89</v>
      </c>
      <c r="Q167" s="119">
        <f t="shared" si="14"/>
        <v>88.166842396290065</v>
      </c>
      <c r="R167" s="119" t="str">
        <f t="shared" si="12"/>
        <v xml:space="preserve"> </v>
      </c>
      <c r="S167" s="55">
        <v>70</v>
      </c>
      <c r="AA167" s="85"/>
    </row>
    <row r="168" spans="2:27" s="55" customFormat="1" ht="13.5"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60"/>
      <c r="P168" s="119">
        <f t="shared" si="13"/>
        <v>90</v>
      </c>
      <c r="Q168" s="119">
        <f t="shared" si="14"/>
        <v>88.992548999999684</v>
      </c>
      <c r="R168" s="119" t="str">
        <f t="shared" si="12"/>
        <v xml:space="preserve"> </v>
      </c>
      <c r="S168" s="55">
        <v>70</v>
      </c>
      <c r="AA168" s="85"/>
    </row>
    <row r="169" spans="2:27" s="55" customFormat="1" ht="13.5"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60"/>
      <c r="P169" s="119">
        <f t="shared" si="13"/>
        <v>91</v>
      </c>
      <c r="Q169" s="119">
        <f t="shared" si="14"/>
        <v>89.854473236709964</v>
      </c>
      <c r="R169" s="119" t="str">
        <f t="shared" si="12"/>
        <v xml:space="preserve"> </v>
      </c>
      <c r="S169" s="55">
        <v>70</v>
      </c>
      <c r="AA169" s="85"/>
    </row>
    <row r="170" spans="2:27" s="55" customFormat="1" ht="13.5"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60"/>
      <c r="P170" s="119">
        <f t="shared" si="13"/>
        <v>92</v>
      </c>
      <c r="Q170" s="119">
        <f t="shared" si="14"/>
        <v>90.758223390719991</v>
      </c>
      <c r="R170" s="119" t="str">
        <f t="shared" si="12"/>
        <v xml:space="preserve"> </v>
      </c>
      <c r="S170" s="55">
        <v>70</v>
      </c>
      <c r="AA170" s="85"/>
    </row>
    <row r="171" spans="2:27" s="55" customFormat="1" ht="13.5"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60"/>
      <c r="P171" s="119">
        <f t="shared" si="13"/>
        <v>93</v>
      </c>
      <c r="Q171" s="119">
        <f t="shared" si="14"/>
        <v>91.709795767529911</v>
      </c>
      <c r="R171" s="119" t="str">
        <f t="shared" si="12"/>
        <v xml:space="preserve"> </v>
      </c>
      <c r="S171" s="55">
        <v>70</v>
      </c>
      <c r="AA171" s="85"/>
    </row>
    <row r="172" spans="2:27" s="55" customFormat="1" ht="13.5"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60"/>
      <c r="P172" s="119">
        <f t="shared" si="13"/>
        <v>94</v>
      </c>
      <c r="Q172" s="119">
        <f t="shared" si="14"/>
        <v>92.715585519039763</v>
      </c>
      <c r="R172" s="119" t="str">
        <f t="shared" si="12"/>
        <v xml:space="preserve"> </v>
      </c>
      <c r="S172" s="55">
        <v>70</v>
      </c>
      <c r="AA172" s="85"/>
    </row>
    <row r="173" spans="2:27" s="55" customFormat="1" ht="13.5"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60"/>
      <c r="P173" s="119">
        <f t="shared" si="13"/>
        <v>95</v>
      </c>
      <c r="Q173" s="119">
        <f t="shared" si="14"/>
        <v>93.782397468749679</v>
      </c>
      <c r="R173" s="119" t="str">
        <f t="shared" si="12"/>
        <v xml:space="preserve"> </v>
      </c>
      <c r="S173" s="55">
        <v>70</v>
      </c>
      <c r="AA173" s="85"/>
    </row>
    <row r="174" spans="2:27" s="55" customFormat="1" ht="13.5"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60"/>
      <c r="P174" s="119">
        <f t="shared" si="13"/>
        <v>96</v>
      </c>
      <c r="Q174" s="119">
        <f t="shared" si="14"/>
        <v>94.91745693695988</v>
      </c>
      <c r="R174" s="119" t="str">
        <f t="shared" si="12"/>
        <v xml:space="preserve"> </v>
      </c>
      <c r="S174" s="55">
        <v>70</v>
      </c>
      <c r="AA174" s="85"/>
    </row>
    <row r="175" spans="2:27" s="55" customFormat="1" ht="13.5"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60"/>
      <c r="P175" s="119">
        <f t="shared" si="13"/>
        <v>97</v>
      </c>
      <c r="Q175" s="119">
        <f>100*(D$76*(P175/100)+E$76*(P175/100)^2+F$76*(P175/100)^3+G$76*(P175/100)^4+H$76*(P175/100)^5)</f>
        <v>96.128420565969819</v>
      </c>
      <c r="R175" s="119" t="str">
        <f t="shared" si="12"/>
        <v xml:space="preserve"> </v>
      </c>
      <c r="S175" s="55">
        <v>70</v>
      </c>
      <c r="AA175" s="85"/>
    </row>
    <row r="176" spans="2:27" s="55" customFormat="1" ht="13.5"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60"/>
      <c r="P176" s="119">
        <f t="shared" si="13"/>
        <v>98</v>
      </c>
      <c r="Q176" s="119">
        <f>100*(D$76*(P176/100)+E$76*(P176/100)^2+F$76*(P176/100)^3+G$76*(P176/100)^4+H$76*(P176/100)^5)</f>
        <v>97.423387145279605</v>
      </c>
      <c r="R176" s="119" t="str">
        <f t="shared" si="12"/>
        <v xml:space="preserve"> </v>
      </c>
      <c r="S176" s="55">
        <v>70</v>
      </c>
      <c r="T176" s="119"/>
      <c r="U176" s="119"/>
      <c r="V176" s="119"/>
      <c r="W176" s="119"/>
      <c r="AA176" s="85"/>
    </row>
    <row r="177" spans="2:28" s="55" customFormat="1" ht="13.5"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60"/>
      <c r="P177" s="119">
        <f t="shared" si="13"/>
        <v>99</v>
      </c>
      <c r="Q177" s="119">
        <f>100*(D$76*(P177/100)+E$76*(P177/100)^2+F$76*(P177/100)^3+G$76*(P177/100)^4+H$76*(P177/100)^5)</f>
        <v>98.810908436789546</v>
      </c>
      <c r="R177" s="119" t="str">
        <f t="shared" si="12"/>
        <v xml:space="preserve"> </v>
      </c>
      <c r="S177" s="55">
        <v>70</v>
      </c>
      <c r="T177" s="119"/>
      <c r="U177" s="119"/>
      <c r="V177" s="119"/>
      <c r="W177" s="119"/>
      <c r="AA177" s="85"/>
    </row>
    <row r="178" spans="2:28" s="55" customFormat="1" ht="13.5"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60"/>
      <c r="P178" s="119">
        <f t="shared" si="13"/>
        <v>100</v>
      </c>
      <c r="Q178" s="119">
        <v>100</v>
      </c>
      <c r="R178" s="119" t="str">
        <f t="shared" si="12"/>
        <v xml:space="preserve"> </v>
      </c>
      <c r="S178" s="55">
        <v>70</v>
      </c>
      <c r="T178" s="119"/>
      <c r="U178" s="119"/>
      <c r="V178" s="119"/>
      <c r="W178" s="119"/>
      <c r="AA178" s="85"/>
    </row>
    <row r="179" spans="2:28" s="55" customFormat="1" ht="13.5"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60"/>
      <c r="P179" s="121"/>
      <c r="Q179" s="121"/>
      <c r="R179" s="121"/>
      <c r="S179" s="86" t="s">
        <v>61</v>
      </c>
      <c r="T179" s="86"/>
      <c r="U179" s="86"/>
      <c r="V179" s="86" t="s">
        <v>60</v>
      </c>
      <c r="W179" s="119"/>
      <c r="X179" s="86" t="s">
        <v>47</v>
      </c>
      <c r="Y179" s="86"/>
      <c r="Z179" s="86"/>
      <c r="AA179" s="86"/>
      <c r="AB179" s="86"/>
    </row>
    <row r="180" spans="2:28" s="55" customFormat="1" ht="13.5"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60"/>
      <c r="P180" s="121"/>
      <c r="Q180" s="121"/>
      <c r="R180" s="121"/>
      <c r="S180" s="153">
        <f>VLOOKUP(70,S182:T194,2)</f>
        <v>50</v>
      </c>
      <c r="T180" s="86"/>
      <c r="U180" s="86"/>
      <c r="V180" s="153">
        <f>VLOOKUP(70,V182:W193,2)</f>
        <v>32</v>
      </c>
      <c r="W180" s="119"/>
      <c r="X180" s="86"/>
      <c r="Y180" s="86"/>
      <c r="Z180" s="86"/>
      <c r="AA180" s="86"/>
      <c r="AB180" s="86"/>
    </row>
    <row r="181" spans="2:28" s="55" customFormat="1" ht="13.5"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60"/>
      <c r="P181" s="121"/>
      <c r="Q181" s="121"/>
      <c r="R181" s="121"/>
      <c r="S181" s="86"/>
      <c r="T181" s="86"/>
      <c r="U181" s="86"/>
      <c r="V181" s="86" t="s">
        <v>47</v>
      </c>
      <c r="W181" s="119"/>
      <c r="X181" s="86"/>
      <c r="Y181" s="86"/>
      <c r="Z181" s="86"/>
      <c r="AA181" s="86"/>
      <c r="AB181" s="86"/>
    </row>
    <row r="182" spans="2:28" s="55" customFormat="1" ht="13.5"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60"/>
      <c r="P182" s="121"/>
      <c r="Q182" s="121"/>
      <c r="R182" s="121"/>
      <c r="S182" s="119">
        <f>AB115</f>
        <v>0.24575576787366962</v>
      </c>
      <c r="T182" s="119">
        <v>700</v>
      </c>
      <c r="V182" s="119">
        <f>AB90</f>
        <v>0.34316304499806327</v>
      </c>
      <c r="W182" s="119">
        <f>T90</f>
        <v>400</v>
      </c>
      <c r="X182" s="86"/>
      <c r="Y182" s="86"/>
      <c r="Z182" s="86"/>
      <c r="AA182" s="86"/>
      <c r="AB182" s="86"/>
    </row>
    <row r="183" spans="2:28" s="55" customFormat="1" ht="13.5"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60"/>
      <c r="P183" s="121"/>
      <c r="Q183" s="121"/>
      <c r="R183" s="121"/>
      <c r="S183" s="119">
        <f>AB114</f>
        <v>0.62614859531794553</v>
      </c>
      <c r="T183" s="119">
        <v>600</v>
      </c>
      <c r="V183" s="119">
        <f>AB89</f>
        <v>0.73754002334839974</v>
      </c>
      <c r="W183" s="119">
        <f>T89</f>
        <v>350</v>
      </c>
      <c r="X183" s="86"/>
      <c r="Y183" s="86"/>
      <c r="Z183" s="86"/>
      <c r="AA183" s="86"/>
      <c r="AB183" s="86"/>
    </row>
    <row r="184" spans="2:28" s="55" customFormat="1" ht="13.5"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60"/>
      <c r="P184" s="121"/>
      <c r="Q184" s="121"/>
      <c r="R184" s="121"/>
      <c r="S184" s="119">
        <f>AB113</f>
        <v>0.6613499132224252</v>
      </c>
      <c r="T184" s="119">
        <v>500</v>
      </c>
      <c r="V184" s="119">
        <f>AB88</f>
        <v>0.78389032326931263</v>
      </c>
      <c r="W184" s="119">
        <f>T88</f>
        <v>300</v>
      </c>
      <c r="X184" s="86"/>
      <c r="Y184" s="86"/>
      <c r="Z184" s="86"/>
      <c r="AA184" s="86"/>
      <c r="AB184" s="86"/>
    </row>
    <row r="185" spans="2:28" s="55" customFormat="1" ht="13.5"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60"/>
      <c r="P185" s="54"/>
      <c r="S185" s="119">
        <f>AB112</f>
        <v>1.1207781799788501</v>
      </c>
      <c r="T185" s="119">
        <v>400</v>
      </c>
      <c r="V185" s="119">
        <f>AB87</f>
        <v>1.492465261781784</v>
      </c>
      <c r="W185" s="119">
        <f>T87</f>
        <v>250</v>
      </c>
      <c r="X185" s="86"/>
      <c r="Y185" s="86"/>
      <c r="Z185" s="86"/>
      <c r="AA185" s="86"/>
      <c r="AB185" s="86"/>
    </row>
    <row r="186" spans="2:28" s="55" customFormat="1" ht="13.5"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60"/>
      <c r="P186" s="54"/>
      <c r="S186" s="119">
        <f>AB111</f>
        <v>1.1047282948688455</v>
      </c>
      <c r="T186" s="119">
        <v>350</v>
      </c>
      <c r="V186" s="119">
        <f>AB86</f>
        <v>2.7435247901552184</v>
      </c>
      <c r="W186" s="119">
        <f>T86</f>
        <v>200</v>
      </c>
      <c r="X186" s="86"/>
      <c r="Y186" s="86"/>
      <c r="Z186" s="86"/>
      <c r="AA186" s="86"/>
      <c r="AB186" s="86"/>
    </row>
    <row r="187" spans="2:28" s="55" customFormat="1" ht="13.5"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60"/>
      <c r="P187" s="54"/>
      <c r="S187" s="119">
        <f>AB110</f>
        <v>1.3947861820850318</v>
      </c>
      <c r="T187" s="119">
        <v>300</v>
      </c>
      <c r="V187" s="119">
        <f>AB85</f>
        <v>5.5740643851339877</v>
      </c>
      <c r="W187" s="119">
        <f>T85</f>
        <v>150</v>
      </c>
      <c r="X187" s="86"/>
      <c r="Y187" s="86"/>
      <c r="Z187" s="86"/>
      <c r="AA187" s="86"/>
      <c r="AB187" s="86"/>
    </row>
    <row r="188" spans="2:28" s="55" customFormat="1" ht="13.5"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60"/>
      <c r="P188" s="54"/>
      <c r="S188" s="119">
        <f>AB109</f>
        <v>2.4054996171649305</v>
      </c>
      <c r="T188" s="119">
        <v>250</v>
      </c>
      <c r="V188" s="119">
        <f>AB84</f>
        <v>10.848725129439384</v>
      </c>
      <c r="W188" s="119">
        <f>T84</f>
        <v>100</v>
      </c>
      <c r="X188" s="86"/>
      <c r="Y188" s="86"/>
      <c r="Z188" s="86"/>
      <c r="AA188" s="86"/>
      <c r="AB188" s="86"/>
    </row>
    <row r="189" spans="2:28" s="55" customFormat="1" ht="13.5"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60"/>
      <c r="P189" s="54"/>
      <c r="S189" s="119">
        <f>AB108</f>
        <v>4.0001846561371348</v>
      </c>
      <c r="T189" s="119">
        <v>200</v>
      </c>
      <c r="V189" s="119">
        <f>AB83</f>
        <v>16.996058603280247</v>
      </c>
      <c r="W189" s="119">
        <f>T83</f>
        <v>80</v>
      </c>
      <c r="X189" s="86"/>
      <c r="Y189" s="86"/>
      <c r="Z189" s="86"/>
      <c r="AA189" s="86"/>
      <c r="AB189" s="86"/>
    </row>
    <row r="190" spans="2:28" s="55" customFormat="1" ht="13.5"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60"/>
      <c r="P190" s="54"/>
      <c r="S190" s="119">
        <f>AB107</f>
        <v>7.7558010045015768</v>
      </c>
      <c r="T190" s="119">
        <v>150</v>
      </c>
      <c r="V190" s="119">
        <f>AB82</f>
        <v>19.043080112563423</v>
      </c>
      <c r="W190" s="119">
        <f>T82</f>
        <v>65</v>
      </c>
      <c r="X190" s="86"/>
      <c r="Y190" s="86"/>
      <c r="Z190" s="86"/>
      <c r="AA190" s="86"/>
      <c r="AB190" s="86"/>
    </row>
    <row r="191" spans="2:28" s="55" customFormat="1" ht="13.5"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60"/>
      <c r="P191" s="54"/>
      <c r="S191" s="55">
        <f>AB105</f>
        <v>14.324755519897614</v>
      </c>
      <c r="T191" s="119">
        <v>100</v>
      </c>
      <c r="V191" s="119">
        <f>AB81</f>
        <v>26.65984229791345</v>
      </c>
      <c r="W191" s="119">
        <f>T81</f>
        <v>50</v>
      </c>
      <c r="X191" s="86"/>
      <c r="Y191" s="86"/>
      <c r="Z191" s="86"/>
      <c r="AA191" s="86"/>
      <c r="AB191" s="86"/>
    </row>
    <row r="192" spans="2:28" s="55" customFormat="1" ht="13.5"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60"/>
      <c r="P192" s="54"/>
      <c r="S192" s="119">
        <f>AB104</f>
        <v>24.511990143471479</v>
      </c>
      <c r="T192" s="119">
        <v>80</v>
      </c>
      <c r="V192" s="86">
        <f>AB80</f>
        <v>35.552748589782659</v>
      </c>
      <c r="W192" s="119">
        <f>T80</f>
        <v>40</v>
      </c>
      <c r="X192" s="86"/>
      <c r="Y192" s="86"/>
      <c r="Z192" s="86"/>
      <c r="AA192" s="86"/>
      <c r="AB192" s="86"/>
    </row>
    <row r="193" spans="2:28" s="55" customFormat="1" ht="13.5"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60"/>
      <c r="P193" s="54"/>
      <c r="S193" s="119">
        <f>AB103</f>
        <v>29.231344956512405</v>
      </c>
      <c r="T193" s="119">
        <v>65</v>
      </c>
      <c r="V193" s="86">
        <f>AB79</f>
        <v>36.741491002587921</v>
      </c>
      <c r="W193" s="119">
        <f>T79</f>
        <v>32</v>
      </c>
      <c r="X193" s="86"/>
      <c r="Y193" s="86"/>
      <c r="Z193" s="86"/>
      <c r="AA193" s="86"/>
      <c r="AB193" s="86"/>
    </row>
    <row r="194" spans="2:28" s="55" customFormat="1" ht="13.5"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60"/>
      <c r="P194" s="54"/>
      <c r="S194" s="119">
        <f>AB102</f>
        <v>34.059894311127678</v>
      </c>
      <c r="T194" s="119">
        <v>50</v>
      </c>
      <c r="V194" s="119"/>
      <c r="W194" s="119"/>
      <c r="AA194" s="85"/>
    </row>
    <row r="195" spans="2:28" s="55" customFormat="1" ht="13.5"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60"/>
      <c r="P195" s="54"/>
      <c r="U195" s="119"/>
      <c r="V195" s="119"/>
      <c r="W195" s="119"/>
      <c r="AA195" s="85"/>
    </row>
    <row r="196" spans="2:28" s="55" customFormat="1" ht="13.5"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60"/>
      <c r="P196" s="54"/>
      <c r="S196" s="119">
        <f>AB102</f>
        <v>34.059894311127678</v>
      </c>
      <c r="U196" s="119"/>
      <c r="V196" s="119"/>
      <c r="W196" s="119"/>
      <c r="AA196" s="85"/>
    </row>
    <row r="197" spans="2:28" s="55" customFormat="1" ht="13.5"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60"/>
      <c r="P197" s="54"/>
      <c r="T197" s="119"/>
      <c r="U197" s="119"/>
      <c r="V197" s="119"/>
      <c r="W197" s="119"/>
      <c r="AA197" s="85"/>
    </row>
    <row r="198" spans="2:28" s="55" customFormat="1" ht="13.5"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60"/>
      <c r="P198" s="54"/>
      <c r="T198" s="119"/>
      <c r="U198" s="119"/>
      <c r="V198" s="119"/>
      <c r="W198" s="119"/>
      <c r="AA198" s="85"/>
    </row>
    <row r="199" spans="2:28" s="55" customFormat="1" ht="13.5"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60"/>
      <c r="P199" s="54"/>
      <c r="T199" s="119"/>
      <c r="U199" s="119"/>
      <c r="V199" s="119"/>
      <c r="W199" s="119"/>
      <c r="AA199" s="85"/>
    </row>
    <row r="200" spans="2:28" s="55" customFormat="1" ht="13.5"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60"/>
      <c r="P200" s="54"/>
      <c r="T200" s="119"/>
      <c r="U200" s="119"/>
      <c r="V200" s="119"/>
      <c r="W200" s="119"/>
      <c r="AA200" s="85"/>
    </row>
    <row r="201" spans="2:28" s="55" customFormat="1"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60"/>
      <c r="P201" s="54"/>
      <c r="AA201" s="85"/>
    </row>
    <row r="202" spans="2:28" s="55" customFormat="1"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60"/>
      <c r="P202" s="54"/>
      <c r="AA202" s="85"/>
    </row>
    <row r="203" spans="2:28" s="55" customFormat="1"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60"/>
      <c r="P203" s="54"/>
      <c r="AA203" s="85"/>
    </row>
    <row r="204" spans="2:28" s="55" customFormat="1"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60"/>
      <c r="P204" s="54"/>
      <c r="AA204" s="85"/>
    </row>
    <row r="205" spans="2:28" s="55" customFormat="1"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60"/>
      <c r="P205" s="54"/>
      <c r="AA205" s="85"/>
    </row>
    <row r="206" spans="2:28" s="55" customFormat="1"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60"/>
      <c r="P206" s="54"/>
      <c r="AA206" s="85"/>
    </row>
    <row r="207" spans="2:28" s="55" customFormat="1"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60"/>
      <c r="P207" s="54"/>
      <c r="AA207" s="85"/>
    </row>
    <row r="208" spans="2:28" s="55" customFormat="1"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60"/>
      <c r="P208" s="54"/>
      <c r="AA208" s="85"/>
    </row>
    <row r="209" spans="2:27" s="55" customFormat="1"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60"/>
      <c r="P209" s="54"/>
      <c r="AA209" s="85"/>
    </row>
    <row r="210" spans="2:27" s="55" customFormat="1"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60"/>
      <c r="P210" s="54"/>
      <c r="AA210" s="85"/>
    </row>
    <row r="211" spans="2:27" s="55" customFormat="1"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60"/>
      <c r="P211" s="54"/>
      <c r="AA211" s="85"/>
    </row>
    <row r="212" spans="2:27" s="55" customFormat="1"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60"/>
      <c r="P212" s="54"/>
      <c r="AA212" s="85"/>
    </row>
    <row r="213" spans="2:27" s="55" customFormat="1"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60"/>
      <c r="P213" s="54"/>
      <c r="AA213" s="85"/>
    </row>
    <row r="214" spans="2:27" s="55" customFormat="1"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60"/>
      <c r="P214" s="54"/>
      <c r="AA214" s="85"/>
    </row>
    <row r="215" spans="2:27" s="55" customFormat="1"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60"/>
      <c r="P215" s="54"/>
      <c r="AA215" s="85"/>
    </row>
    <row r="216" spans="2:27" s="55" customFormat="1"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60"/>
      <c r="P216" s="54"/>
      <c r="AA216" s="85"/>
    </row>
    <row r="217" spans="2:27" s="55" customFormat="1"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60"/>
      <c r="P217" s="54"/>
      <c r="AA217" s="85"/>
    </row>
    <row r="218" spans="2:27" s="55" customFormat="1"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60"/>
      <c r="P218" s="54"/>
      <c r="AA218" s="85"/>
    </row>
    <row r="219" spans="2:27" s="55" customFormat="1"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60"/>
      <c r="P219" s="54"/>
      <c r="AA219" s="85"/>
    </row>
    <row r="220" spans="2:27" s="55" customFormat="1"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60"/>
      <c r="P220" s="54"/>
      <c r="AA220" s="85"/>
    </row>
    <row r="221" spans="2:27" s="55" customFormat="1"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60"/>
      <c r="P221" s="54"/>
      <c r="AA221" s="85"/>
    </row>
    <row r="222" spans="2:27" s="55" customFormat="1"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60"/>
      <c r="P222" s="54"/>
      <c r="AA222" s="85"/>
    </row>
    <row r="223" spans="2:27" s="55" customFormat="1"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60"/>
      <c r="P223" s="54"/>
      <c r="AA223" s="85"/>
    </row>
    <row r="224" spans="2:27" s="55" customFormat="1"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60"/>
      <c r="P224" s="54"/>
      <c r="AA224" s="85"/>
    </row>
    <row r="225" spans="2:94" s="55" customFormat="1"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60"/>
      <c r="P225" s="54"/>
      <c r="AA225" s="85"/>
    </row>
    <row r="226" spans="2:94" s="55" customFormat="1"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60"/>
      <c r="P226" s="54"/>
      <c r="AA226" s="85"/>
    </row>
    <row r="227" spans="2:94" s="55" customFormat="1"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60"/>
      <c r="P227" s="54"/>
      <c r="AA227" s="85"/>
    </row>
    <row r="228" spans="2:94" s="55" customFormat="1"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60"/>
      <c r="P228" s="54"/>
      <c r="AA228" s="85"/>
    </row>
    <row r="229" spans="2:94" s="55" customFormat="1"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60"/>
      <c r="P229" s="54"/>
      <c r="AA229" s="85"/>
    </row>
    <row r="230" spans="2:94" s="55" customFormat="1"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60"/>
      <c r="P230" s="54"/>
      <c r="AA230" s="85"/>
    </row>
    <row r="231" spans="2:94" s="55" customFormat="1"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60"/>
      <c r="P231" s="54"/>
      <c r="AA231" s="85"/>
    </row>
    <row r="232" spans="2:94" s="55" customFormat="1"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60"/>
      <c r="P232" s="54"/>
      <c r="AA232" s="85"/>
    </row>
    <row r="233" spans="2:94" s="55" customFormat="1"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60"/>
      <c r="P233" s="54"/>
      <c r="AA233" s="85"/>
    </row>
    <row r="234" spans="2:94" s="55" customFormat="1"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60"/>
      <c r="P234" s="54"/>
      <c r="AA234" s="85"/>
    </row>
    <row r="235" spans="2:94" s="55" customFormat="1"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60"/>
      <c r="P235" s="54"/>
      <c r="AA235" s="85"/>
    </row>
    <row r="236" spans="2:94" s="55" customFormat="1"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60"/>
      <c r="P236" s="54"/>
      <c r="AA236" s="85"/>
    </row>
    <row r="237" spans="2:94" s="55" customFormat="1"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60"/>
      <c r="P237" s="54"/>
      <c r="AA237" s="85"/>
    </row>
    <row r="238" spans="2:94" s="55" customFormat="1"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60"/>
      <c r="P238" s="54"/>
      <c r="AA238" s="85"/>
    </row>
    <row r="239" spans="2:94" s="55" customFormat="1"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60"/>
      <c r="P239" s="54"/>
      <c r="AA239" s="85"/>
      <c r="CH239" s="120"/>
      <c r="CI239" s="120"/>
      <c r="CJ239" s="120"/>
      <c r="CK239" s="120"/>
      <c r="CL239" s="120"/>
      <c r="CM239" s="120"/>
      <c r="CN239" s="120"/>
      <c r="CO239" s="120"/>
      <c r="CP239" s="120"/>
    </row>
    <row r="240" spans="2:94" s="55" customFormat="1" ht="5.0999999999999996" customHeight="1"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60"/>
      <c r="P240" s="54"/>
      <c r="AA240" s="85"/>
      <c r="CH240" s="133"/>
      <c r="CI240" s="134"/>
      <c r="CJ240" s="134"/>
      <c r="CK240" s="134"/>
      <c r="CL240" s="134"/>
      <c r="CM240" s="134"/>
      <c r="CN240" s="134"/>
      <c r="CO240" s="135"/>
      <c r="CP240" s="120"/>
    </row>
    <row r="241" spans="2:94" s="55" customFormat="1" ht="40.5" customHeight="1"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60"/>
      <c r="P241" s="54"/>
      <c r="AA241" s="85"/>
      <c r="CH241" s="136"/>
      <c r="CI241" s="137"/>
      <c r="CJ241" s="137"/>
      <c r="CK241" s="137"/>
      <c r="CL241" s="120"/>
      <c r="CM241" s="138" t="str">
        <f>IF($C$73=1,"VANNE",IF($C$73=2,"VENTIL","PRV SIZING"))</f>
        <v>PRV SIZING</v>
      </c>
      <c r="CN241" s="139"/>
      <c r="CO241" s="140"/>
      <c r="CP241" s="120"/>
    </row>
    <row r="242" spans="2:94" s="55" customFormat="1" ht="11.25" customHeight="1"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60"/>
      <c r="P242" s="54"/>
      <c r="AA242" s="85"/>
      <c r="CH242" s="136"/>
      <c r="CI242" s="120"/>
      <c r="CJ242" s="120"/>
      <c r="CK242" s="120"/>
      <c r="CL242" s="120"/>
      <c r="CM242" s="120"/>
      <c r="CN242" s="120"/>
      <c r="CO242" s="140"/>
      <c r="CP242" s="120"/>
    </row>
    <row r="243" spans="2:94" s="55" customFormat="1" ht="5.0999999999999996" customHeight="1"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60"/>
      <c r="P243" s="54"/>
      <c r="AA243" s="85"/>
      <c r="CH243" s="141"/>
      <c r="CI243" s="142"/>
      <c r="CJ243" s="143"/>
      <c r="CK243" s="144"/>
      <c r="CL243" s="144"/>
      <c r="CM243" s="144"/>
      <c r="CN243" s="144"/>
      <c r="CO243" s="145"/>
      <c r="CP243" s="120"/>
    </row>
    <row r="244" spans="2:94" s="55" customFormat="1" ht="13.5" customHeight="1"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60"/>
      <c r="P244" s="54"/>
      <c r="AA244" s="85"/>
      <c r="CH244" s="146"/>
      <c r="CI244" s="147" t="str">
        <f>IF($C$73=1,"Date :",IF($C$73=2,"Datum :","Date :"))</f>
        <v>Date :</v>
      </c>
      <c r="CJ244" s="331">
        <f ca="1">TODAY()</f>
        <v>44567</v>
      </c>
      <c r="CK244" s="332"/>
      <c r="CL244" s="148"/>
      <c r="CM244" s="149"/>
      <c r="CN244" s="149"/>
      <c r="CO244" s="150"/>
      <c r="CP244" s="120"/>
    </row>
    <row r="245" spans="2:94" s="55" customFormat="1" ht="13.5" customHeight="1"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60"/>
      <c r="P245" s="54"/>
      <c r="AA245" s="85"/>
      <c r="CH245" s="146"/>
      <c r="CI245" s="147"/>
      <c r="CJ245" s="151"/>
      <c r="CK245" s="149"/>
      <c r="CL245" s="120"/>
      <c r="CM245" s="152"/>
      <c r="CN245" s="152"/>
      <c r="CO245" s="150"/>
      <c r="CP245" s="120"/>
    </row>
    <row r="246" spans="2:94" s="55" customFormat="1" ht="13.5" customHeight="1"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60"/>
      <c r="P246" s="54"/>
      <c r="AA246" s="85"/>
      <c r="CH246" s="146"/>
      <c r="CI246" s="147" t="str">
        <f>IF($C$73=1,"Proj Ref. :",IF($C$73=2,"Proj Ref. :","Proj Ref. :"))</f>
        <v>Proj Ref. :</v>
      </c>
      <c r="CJ246" s="333" t="str">
        <f>UPPER(C4)</f>
        <v>ENTER PROJECT REF HERE..</v>
      </c>
      <c r="CK246" s="334"/>
      <c r="CL246" s="334"/>
      <c r="CM246" s="334"/>
      <c r="CN246" s="334"/>
      <c r="CO246" s="150"/>
      <c r="CP246" s="120"/>
    </row>
    <row r="247" spans="2:94" s="55" customFormat="1" ht="5.0999999999999996" customHeight="1"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60"/>
      <c r="P247" s="54"/>
      <c r="AA247" s="85"/>
      <c r="CH247" s="210"/>
      <c r="CI247" s="211"/>
      <c r="CJ247" s="212"/>
      <c r="CK247" s="212"/>
      <c r="CL247" s="212"/>
      <c r="CM247" s="212"/>
      <c r="CN247" s="212"/>
      <c r="CO247" s="213"/>
      <c r="CP247" s="120"/>
    </row>
    <row r="248" spans="2:94" s="55" customFormat="1" ht="21" customHeight="1"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60"/>
      <c r="P248" s="54"/>
      <c r="AA248" s="85"/>
      <c r="CH248" s="146"/>
      <c r="CI248" s="214" t="str">
        <f>IF($C$73=1,"DONNEES DE BASE",IF($C$73=2,"INFORMATIONEN","BASIC DATA"))</f>
        <v>BASIC DATA</v>
      </c>
      <c r="CJ248" s="215"/>
      <c r="CK248" s="215"/>
      <c r="CL248" s="215"/>
      <c r="CM248" s="215"/>
      <c r="CN248" s="215"/>
      <c r="CO248" s="150"/>
      <c r="CP248" s="120"/>
    </row>
    <row r="249" spans="2:94" s="55" customFormat="1" ht="15.75" customHeight="1"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60"/>
      <c r="P249" s="54"/>
      <c r="AA249" s="85"/>
      <c r="CH249" s="146"/>
      <c r="CI249" s="215"/>
      <c r="CJ249" s="216" t="str">
        <f>IF($C$73=1,"Diamètre de la vanne :",IF($C$73=2,"Ventil Durch. :","Valve size :"))</f>
        <v>Valve size :</v>
      </c>
      <c r="CK249" s="217"/>
      <c r="CL249" s="218" t="s">
        <v>0</v>
      </c>
      <c r="CM249" s="219">
        <f>D21</f>
        <v>50</v>
      </c>
      <c r="CN249" s="220"/>
      <c r="CO249" s="150"/>
      <c r="CP249" s="120"/>
    </row>
    <row r="250" spans="2:94" s="55" customFormat="1" ht="15.75" customHeight="1"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60"/>
      <c r="P250" s="54"/>
      <c r="AA250" s="85"/>
      <c r="CH250" s="146"/>
      <c r="CI250" s="215"/>
      <c r="CJ250" s="216" t="str">
        <f>IF($C$73=1,"Type de vanne :",IF($C$73=2,"Ventil Typ :","Valve Series:"))</f>
        <v>Valve Series:</v>
      </c>
      <c r="CK250" s="217"/>
      <c r="CL250" s="217"/>
      <c r="CM250" s="221" t="str">
        <f>IF(D20=1,"B90GE-01/LFS","NGE-B90-01/LFS")</f>
        <v>NGE-B90-01/LFS</v>
      </c>
      <c r="CN250" s="220"/>
      <c r="CO250" s="150"/>
      <c r="CP250" s="120"/>
    </row>
    <row r="251" spans="2:94" s="55" customFormat="1" ht="15.75" customHeight="1"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60"/>
      <c r="P251" s="54"/>
      <c r="AA251" s="85"/>
      <c r="CH251" s="146"/>
      <c r="CI251" s="215"/>
      <c r="CJ251" s="216" t="str">
        <f>IF($C$73=1,"Droit / Angle :",IF($C$73=2,"Gerade / Winkel :","Body Pattern:"))</f>
        <v>Body Pattern:</v>
      </c>
      <c r="CK251" s="217"/>
      <c r="CL251" s="218"/>
      <c r="CM251" s="221" t="str">
        <f>IF(D19=1,"GLOBE","ANGLE")</f>
        <v>GLOBE</v>
      </c>
      <c r="CN251" s="220"/>
      <c r="CO251" s="150"/>
      <c r="CP251" s="120"/>
    </row>
    <row r="252" spans="2:94" s="55" customFormat="1" ht="15.75" customHeight="1"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60"/>
      <c r="P252" s="54"/>
      <c r="AA252" s="85"/>
      <c r="CH252" s="146"/>
      <c r="CI252" s="215"/>
      <c r="CJ252" s="216" t="str">
        <f>IF($C$73=1,"Normal / Inverse :",IF($C$73=2,"Normal / Inverse :","Norm. / Rev. flow :"))</f>
        <v>Norm. / Rev. flow :</v>
      </c>
      <c r="CK252" s="217"/>
      <c r="CL252" s="218"/>
      <c r="CM252" s="221" t="s">
        <v>101</v>
      </c>
      <c r="CN252" s="220"/>
      <c r="CO252" s="150"/>
      <c r="CP252" s="120"/>
    </row>
    <row r="253" spans="2:94" s="55" customFormat="1" ht="12.95" customHeight="1"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60"/>
      <c r="P253" s="54"/>
      <c r="AA253" s="85"/>
      <c r="CH253" s="146"/>
      <c r="CI253" s="215"/>
      <c r="CJ253" s="46" t="s">
        <v>93</v>
      </c>
      <c r="CK253" s="217"/>
      <c r="CL253" s="218"/>
      <c r="CM253" s="221" t="str">
        <f>C26</f>
        <v>1.4 - 7.2 bar</v>
      </c>
      <c r="CN253" s="220"/>
      <c r="CO253" s="150"/>
      <c r="CP253" s="120"/>
    </row>
    <row r="254" spans="2:94" s="55" customFormat="1" ht="12.95" customHeight="1"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60"/>
      <c r="P254" s="54"/>
      <c r="AA254" s="85"/>
      <c r="CH254" s="146"/>
      <c r="CI254" s="215"/>
      <c r="CJ254" s="216" t="s">
        <v>35</v>
      </c>
      <c r="CK254" s="217"/>
      <c r="CL254" s="222" t="str">
        <f>IF($D$5=1,"l/s","M3/h")</f>
        <v>l/s</v>
      </c>
      <c r="CM254" s="223">
        <f>D7</f>
        <v>0</v>
      </c>
      <c r="CN254" s="220"/>
      <c r="CO254" s="150"/>
      <c r="CP254" s="120"/>
    </row>
    <row r="255" spans="2:94" s="55" customFormat="1" ht="12.95" customHeight="1"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60"/>
      <c r="P255" s="54"/>
      <c r="AA255" s="85"/>
      <c r="CH255" s="146"/>
      <c r="CI255" s="215"/>
      <c r="CJ255" s="216" t="s">
        <v>34</v>
      </c>
      <c r="CK255" s="217"/>
      <c r="CL255" s="222" t="str">
        <f>IF($D$5=1,"l/s","M3/h")</f>
        <v>l/s</v>
      </c>
      <c r="CM255" s="223">
        <f>D8</f>
        <v>3</v>
      </c>
      <c r="CN255" s="220"/>
      <c r="CO255" s="150"/>
      <c r="CP255" s="120"/>
    </row>
    <row r="256" spans="2:94" s="55" customFormat="1" ht="12.95" customHeight="1"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60"/>
      <c r="P256" s="54"/>
      <c r="AA256" s="85"/>
      <c r="CH256" s="146"/>
      <c r="CI256" s="215"/>
      <c r="CJ256" s="216" t="s">
        <v>78</v>
      </c>
      <c r="CK256" s="217"/>
      <c r="CL256" s="222" t="str">
        <f>IF($D$6=1,"bar","Mhd")</f>
        <v>bar</v>
      </c>
      <c r="CM256" s="223">
        <f>D10</f>
        <v>6</v>
      </c>
      <c r="CN256" s="220"/>
      <c r="CO256" s="150"/>
      <c r="CP256" s="120"/>
    </row>
    <row r="257" spans="2:94" s="55" customFormat="1" ht="12.95" customHeight="1"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60"/>
      <c r="P257" s="54"/>
      <c r="AA257" s="85"/>
      <c r="CH257" s="146"/>
      <c r="CI257" s="215"/>
      <c r="CJ257" s="216" t="s">
        <v>79</v>
      </c>
      <c r="CK257" s="217"/>
      <c r="CL257" s="222" t="str">
        <f>IF($D$6=1,"bar","Mhd")</f>
        <v>bar</v>
      </c>
      <c r="CM257" s="223">
        <f>D9</f>
        <v>6</v>
      </c>
      <c r="CN257" s="220"/>
      <c r="CO257" s="150"/>
      <c r="CP257" s="120"/>
    </row>
    <row r="258" spans="2:94" s="55" customFormat="1" ht="12.95" customHeight="1"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60"/>
      <c r="P258" s="54"/>
      <c r="AA258" s="85"/>
      <c r="CH258" s="146"/>
      <c r="CI258" s="215"/>
      <c r="CJ258" s="216" t="str">
        <f>IF($C$73=1,"P sortie :",IF($C$73=2,"P Ausgang :","P Outlet :"))</f>
        <v>P Outlet :</v>
      </c>
      <c r="CK258" s="217"/>
      <c r="CL258" s="222" t="str">
        <f>IF($D$6=1,"bar","Mhd")</f>
        <v>bar</v>
      </c>
      <c r="CM258" s="223">
        <f>D11</f>
        <v>3</v>
      </c>
      <c r="CN258" s="220"/>
      <c r="CO258" s="150"/>
      <c r="CP258" s="120"/>
    </row>
    <row r="259" spans="2:94" s="55" customFormat="1" ht="12.95" customHeight="1"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60"/>
      <c r="P259" s="54"/>
      <c r="AA259" s="85"/>
      <c r="CH259" s="146"/>
      <c r="CI259" s="215"/>
      <c r="CJ259" s="216" t="s">
        <v>104</v>
      </c>
      <c r="CK259" s="220"/>
      <c r="CL259" s="222" t="str">
        <f>IF($C$73=1,"[l/s]  [m3/h]",IF($C$73=2,"[l/s][m3/St]","[l/s]  [m3/h]"))</f>
        <v>[l/s]  [m3/h]</v>
      </c>
      <c r="CM259" s="224">
        <f>D39</f>
        <v>9</v>
      </c>
      <c r="CN259" s="224">
        <f>CM259*3.6</f>
        <v>32.4</v>
      </c>
      <c r="CO259" s="150"/>
      <c r="CP259" s="120"/>
    </row>
    <row r="260" spans="2:94" s="55" customFormat="1" ht="12.95" customHeight="1"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60"/>
      <c r="P260" s="54"/>
      <c r="AA260" s="85"/>
      <c r="CH260" s="146"/>
      <c r="CI260" s="215"/>
      <c r="CJ260" s="216" t="s">
        <v>36</v>
      </c>
      <c r="CK260" s="220"/>
      <c r="CL260" s="218" t="s">
        <v>3</v>
      </c>
      <c r="CM260" s="224">
        <f>D40</f>
        <v>9.5259868922420363</v>
      </c>
      <c r="CN260" s="220"/>
      <c r="CO260" s="150"/>
      <c r="CP260" s="120"/>
    </row>
    <row r="261" spans="2:94" s="55" customFormat="1" ht="12.95" customHeight="1"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60"/>
      <c r="P261" s="54"/>
      <c r="AA261" s="85"/>
      <c r="CH261" s="146"/>
      <c r="CI261" s="225" t="str">
        <f>IF($C$73=1,"RESULTATS",IF($C$73=2,"RESULTATE","RESULTS"))</f>
        <v>RESULTS</v>
      </c>
      <c r="CJ261" s="120"/>
      <c r="CK261" s="120"/>
      <c r="CL261" s="120"/>
      <c r="CM261" s="120"/>
      <c r="CN261" s="220"/>
      <c r="CO261" s="150"/>
      <c r="CP261" s="120"/>
    </row>
    <row r="262" spans="2:94" s="55" customFormat="1" ht="25.5" customHeight="1"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60"/>
      <c r="P262" s="54"/>
      <c r="AA262" s="85"/>
      <c r="CH262" s="146"/>
      <c r="CI262" s="226"/>
      <c r="CJ262" s="227" t="s">
        <v>76</v>
      </c>
      <c r="CK262" s="227" t="s">
        <v>5</v>
      </c>
      <c r="CL262" s="227" t="str">
        <f>IF($C$73=1,"Ouverture",IF($C$73=2,"Ventil öff.","Opening"))</f>
        <v>Opening</v>
      </c>
      <c r="CM262" s="227" t="str">
        <f>IF($C$73=1,"Vitesse",IF($C$73=2,"Geschw.","Velocity"))</f>
        <v>Velocity</v>
      </c>
      <c r="CN262" s="228" t="str">
        <f>IF($C$73=1,"L équiv.",IF($C$73=2,"Länge","Headloss - Valve Fully open"))</f>
        <v>Headloss - Valve Fully open</v>
      </c>
      <c r="CO262" s="229"/>
      <c r="CP262" s="120"/>
    </row>
    <row r="263" spans="2:94" s="55" customFormat="1" ht="12.95" customHeight="1"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60"/>
      <c r="P263" s="54"/>
      <c r="AA263" s="85"/>
      <c r="CH263" s="146"/>
      <c r="CI263" s="226"/>
      <c r="CJ263" s="227" t="s">
        <v>1</v>
      </c>
      <c r="CK263" s="227" t="s">
        <v>12</v>
      </c>
      <c r="CL263" s="227" t="s">
        <v>12</v>
      </c>
      <c r="CM263" s="227" t="s">
        <v>13</v>
      </c>
      <c r="CN263" s="230" t="s">
        <v>97</v>
      </c>
      <c r="CO263" s="150"/>
      <c r="CP263" s="120"/>
    </row>
    <row r="264" spans="2:94" s="55" customFormat="1" ht="12.95" customHeight="1"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60"/>
      <c r="P264" s="54"/>
      <c r="AA264" s="85"/>
      <c r="CH264" s="146"/>
      <c r="CI264" s="231" t="s">
        <v>38</v>
      </c>
      <c r="CJ264" s="232">
        <f>CM254</f>
        <v>0</v>
      </c>
      <c r="CK264" s="232">
        <f>C28</f>
        <v>0</v>
      </c>
      <c r="CL264" s="232">
        <f>C29</f>
        <v>0</v>
      </c>
      <c r="CM264" s="232">
        <f>C30</f>
        <v>0</v>
      </c>
      <c r="CN264" s="232">
        <f>C31</f>
        <v>0</v>
      </c>
      <c r="CO264" s="150"/>
      <c r="CP264" s="120"/>
    </row>
    <row r="265" spans="2:94" s="55" customFormat="1" ht="12.95" customHeight="1"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60"/>
      <c r="P265" s="54"/>
      <c r="AA265" s="85"/>
      <c r="CH265" s="146"/>
      <c r="CI265" s="231" t="s">
        <v>37</v>
      </c>
      <c r="CJ265" s="232">
        <f>CM255</f>
        <v>3</v>
      </c>
      <c r="CK265" s="232">
        <f>D28</f>
        <v>19.245008972987527</v>
      </c>
      <c r="CL265" s="232">
        <f>D29</f>
        <v>34.059894311127678</v>
      </c>
      <c r="CM265" s="232">
        <f>D30</f>
        <v>1.5277866191355269</v>
      </c>
      <c r="CN265" s="232">
        <f>D31</f>
        <v>0.11117455197424</v>
      </c>
      <c r="CO265" s="150"/>
      <c r="CP265" s="120"/>
    </row>
    <row r="266" spans="2:94" s="55" customFormat="1" ht="12.95" customHeight="1"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60"/>
      <c r="P266" s="54"/>
      <c r="AA266" s="85"/>
      <c r="CH266" s="146"/>
      <c r="CI266" s="120"/>
      <c r="CJ266" s="120"/>
      <c r="CK266" s="120"/>
      <c r="CL266" s="120"/>
      <c r="CM266" s="120"/>
      <c r="CN266" s="120"/>
      <c r="CO266" s="150"/>
      <c r="CP266" s="120"/>
    </row>
    <row r="267" spans="2:94" s="55" customFormat="1" ht="12.95" customHeight="1"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60"/>
      <c r="P267" s="54"/>
      <c r="AA267" s="85"/>
      <c r="CH267" s="146"/>
      <c r="CI267" s="215"/>
      <c r="CJ267" s="215"/>
      <c r="CK267" s="215"/>
      <c r="CL267" s="215"/>
      <c r="CM267" s="215"/>
      <c r="CN267" s="215"/>
      <c r="CO267" s="150"/>
      <c r="CP267" s="120"/>
    </row>
    <row r="268" spans="2:94" s="55" customFormat="1" ht="12.95" customHeight="1"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60"/>
      <c r="P268" s="54"/>
      <c r="AA268" s="85"/>
      <c r="CH268" s="146"/>
      <c r="CI268" s="215"/>
      <c r="CJ268" s="215"/>
      <c r="CK268" s="215"/>
      <c r="CL268" s="215"/>
      <c r="CM268" s="215"/>
      <c r="CN268" s="215"/>
      <c r="CO268" s="150"/>
      <c r="CP268" s="120"/>
    </row>
    <row r="269" spans="2:94" s="55" customFormat="1" ht="12.95" customHeight="1"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60"/>
      <c r="P269" s="54"/>
      <c r="AA269" s="85"/>
      <c r="CH269" s="146"/>
      <c r="CI269" s="215"/>
      <c r="CJ269" s="215"/>
      <c r="CK269" s="215"/>
      <c r="CL269" s="215"/>
      <c r="CM269" s="215"/>
      <c r="CN269" s="215"/>
      <c r="CO269" s="150"/>
      <c r="CP269" s="120"/>
    </row>
    <row r="270" spans="2:94" s="55" customFormat="1" ht="12.95" customHeight="1"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60"/>
      <c r="P270" s="54"/>
      <c r="AA270" s="85"/>
      <c r="CH270" s="146"/>
      <c r="CI270" s="215"/>
      <c r="CJ270" s="215"/>
      <c r="CK270" s="215"/>
      <c r="CL270" s="215"/>
      <c r="CM270" s="215"/>
      <c r="CN270" s="215"/>
      <c r="CO270" s="150"/>
      <c r="CP270" s="120"/>
    </row>
    <row r="271" spans="2:94" s="55" customFormat="1" ht="12.95" customHeight="1"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60"/>
      <c r="P271" s="54"/>
      <c r="AA271" s="85"/>
      <c r="CH271" s="146"/>
      <c r="CI271" s="215"/>
      <c r="CJ271" s="215"/>
      <c r="CK271" s="215"/>
      <c r="CL271" s="215"/>
      <c r="CM271" s="215"/>
      <c r="CN271" s="215"/>
      <c r="CO271" s="150"/>
      <c r="CP271" s="120"/>
    </row>
    <row r="272" spans="2:94" s="55" customFormat="1" ht="12.95" customHeight="1"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60"/>
      <c r="P272" s="54"/>
      <c r="AA272" s="85"/>
      <c r="CH272" s="146"/>
      <c r="CI272" s="215"/>
      <c r="CJ272" s="215"/>
      <c r="CK272" s="215"/>
      <c r="CL272" s="215"/>
      <c r="CM272" s="215"/>
      <c r="CN272" s="215"/>
      <c r="CO272" s="150"/>
      <c r="CP272" s="120"/>
    </row>
    <row r="273" spans="2:94" s="55" customFormat="1" ht="12.95" customHeight="1"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60"/>
      <c r="P273" s="54"/>
      <c r="AA273" s="85"/>
      <c r="CH273" s="146"/>
      <c r="CI273" s="215"/>
      <c r="CJ273" s="215"/>
      <c r="CK273" s="215"/>
      <c r="CL273" s="215"/>
      <c r="CM273" s="215"/>
      <c r="CN273" s="215"/>
      <c r="CO273" s="150"/>
      <c r="CP273" s="120"/>
    </row>
    <row r="274" spans="2:94" s="55" customFormat="1" ht="12.95" customHeight="1"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60"/>
      <c r="P274" s="54"/>
      <c r="AA274" s="85"/>
      <c r="CH274" s="146"/>
      <c r="CI274" s="215"/>
      <c r="CJ274" s="215"/>
      <c r="CK274" s="215"/>
      <c r="CL274" s="215"/>
      <c r="CM274" s="215"/>
      <c r="CN274" s="215"/>
      <c r="CO274" s="150"/>
      <c r="CP274" s="120"/>
    </row>
    <row r="275" spans="2:94" s="55" customFormat="1" ht="12.95" customHeight="1"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60"/>
      <c r="P275" s="54"/>
      <c r="AA275" s="85"/>
      <c r="CH275" s="146"/>
      <c r="CI275" s="215"/>
      <c r="CJ275" s="215"/>
      <c r="CK275" s="215"/>
      <c r="CL275" s="215"/>
      <c r="CM275" s="215"/>
      <c r="CN275" s="215"/>
      <c r="CO275" s="150"/>
      <c r="CP275" s="120"/>
    </row>
    <row r="276" spans="2:94" s="55" customFormat="1" ht="12.95" customHeight="1"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60"/>
      <c r="P276" s="54"/>
      <c r="AA276" s="85"/>
      <c r="CH276" s="146"/>
      <c r="CI276" s="215"/>
      <c r="CJ276" s="215"/>
      <c r="CK276" s="215"/>
      <c r="CL276" s="215"/>
      <c r="CM276" s="215"/>
      <c r="CN276" s="215" t="s">
        <v>47</v>
      </c>
      <c r="CO276" s="150"/>
      <c r="CP276" s="120"/>
    </row>
    <row r="277" spans="2:94" s="55" customFormat="1" ht="12.95" customHeight="1"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60"/>
      <c r="P277" s="54"/>
      <c r="AA277" s="85"/>
      <c r="CH277" s="146"/>
      <c r="CI277" s="215"/>
      <c r="CJ277" s="215"/>
      <c r="CK277" s="215"/>
      <c r="CL277" s="215"/>
      <c r="CM277" s="215"/>
      <c r="CN277" s="215" t="s">
        <v>47</v>
      </c>
      <c r="CO277" s="150"/>
      <c r="CP277" s="120"/>
    </row>
    <row r="278" spans="2:94" s="55" customFormat="1" ht="12.95" customHeight="1"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60"/>
      <c r="P278" s="54"/>
      <c r="AA278" s="85"/>
      <c r="CH278" s="146"/>
      <c r="CI278" s="215"/>
      <c r="CJ278" s="215"/>
      <c r="CK278" s="215"/>
      <c r="CL278" s="215"/>
      <c r="CM278" s="215"/>
      <c r="CN278" s="215"/>
      <c r="CO278" s="150"/>
      <c r="CP278" s="120"/>
    </row>
    <row r="279" spans="2:94" s="55" customFormat="1" ht="15.75" customHeight="1"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60"/>
      <c r="P279" s="54"/>
      <c r="AA279" s="85"/>
      <c r="CH279" s="146"/>
      <c r="CI279" s="233" t="s">
        <v>95</v>
      </c>
      <c r="CJ279" s="120"/>
      <c r="CK279" s="152"/>
      <c r="CL279" s="215"/>
      <c r="CM279" s="215"/>
      <c r="CN279" s="215"/>
      <c r="CO279" s="150"/>
      <c r="CP279" s="120"/>
    </row>
    <row r="280" spans="2:94" s="55" customFormat="1" ht="16.5" customHeight="1"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60"/>
      <c r="P280" s="54"/>
      <c r="AA280" s="85"/>
      <c r="CH280" s="146"/>
      <c r="CI280" s="309" t="str">
        <f>B13</f>
        <v>Enter notes here…</v>
      </c>
      <c r="CJ280" s="310"/>
      <c r="CK280" s="310"/>
      <c r="CL280" s="310"/>
      <c r="CM280" s="310"/>
      <c r="CN280" s="310"/>
      <c r="CO280" s="150"/>
      <c r="CP280" s="120"/>
    </row>
    <row r="281" spans="2:94" s="55" customFormat="1" ht="12.95" customHeight="1"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60"/>
      <c r="P281" s="54"/>
      <c r="AA281" s="85"/>
      <c r="CH281" s="146"/>
      <c r="CI281" s="310"/>
      <c r="CJ281" s="310"/>
      <c r="CK281" s="310"/>
      <c r="CL281" s="310"/>
      <c r="CM281" s="310"/>
      <c r="CN281" s="310"/>
      <c r="CO281" s="150"/>
      <c r="CP281" s="120"/>
    </row>
    <row r="282" spans="2:94" s="55" customFormat="1" ht="12.95" customHeight="1"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60"/>
      <c r="P282" s="54"/>
      <c r="AA282" s="85"/>
      <c r="CH282" s="146"/>
      <c r="CI282" s="310"/>
      <c r="CJ282" s="310"/>
      <c r="CK282" s="310"/>
      <c r="CL282" s="310"/>
      <c r="CM282" s="310"/>
      <c r="CN282" s="310"/>
      <c r="CO282" s="150"/>
      <c r="CP282" s="120"/>
    </row>
    <row r="283" spans="2:94" s="55" customFormat="1" ht="17.25" customHeight="1"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60"/>
      <c r="P283" s="54"/>
      <c r="AA283" s="85"/>
      <c r="CH283" s="146"/>
      <c r="CI283" s="311"/>
      <c r="CJ283" s="311"/>
      <c r="CK283" s="311"/>
      <c r="CL283" s="311"/>
      <c r="CM283" s="311"/>
      <c r="CN283" s="311"/>
      <c r="CO283" s="150"/>
      <c r="CP283" s="120"/>
    </row>
    <row r="284" spans="2:94" s="55" customFormat="1" ht="12.95" customHeight="1"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60"/>
      <c r="P284" s="54"/>
      <c r="AA284" s="85"/>
      <c r="CH284" s="133"/>
      <c r="CI284" s="234" t="s">
        <v>80</v>
      </c>
      <c r="CJ284" s="134"/>
      <c r="CK284" s="134"/>
      <c r="CL284" s="134"/>
      <c r="CM284" s="134"/>
      <c r="CN284" s="134"/>
      <c r="CO284" s="135"/>
      <c r="CP284" s="120"/>
    </row>
    <row r="285" spans="2:94" s="55" customFormat="1" ht="12.95" customHeight="1"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60"/>
      <c r="P285" s="54"/>
      <c r="AA285" s="85"/>
      <c r="CH285" s="202"/>
      <c r="CI285" s="204" t="s">
        <v>39</v>
      </c>
      <c r="CJ285" s="205"/>
      <c r="CK285" s="205"/>
      <c r="CL285" s="205"/>
      <c r="CM285" s="205"/>
      <c r="CN285" s="205"/>
      <c r="CO285" s="203"/>
    </row>
    <row r="286" spans="2:94" s="55" customFormat="1" ht="12.95" customHeight="1"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60"/>
      <c r="P286" s="54"/>
      <c r="AA286" s="85"/>
      <c r="CH286" s="206"/>
      <c r="CI286" s="207" t="s">
        <v>40</v>
      </c>
      <c r="CJ286" s="208"/>
      <c r="CK286" s="208"/>
      <c r="CL286" s="208"/>
      <c r="CM286" s="208"/>
      <c r="CN286" s="208"/>
      <c r="CO286" s="209"/>
    </row>
    <row r="287" spans="2:94" s="55" customFormat="1" ht="12.95" customHeight="1"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60"/>
      <c r="P287" s="54"/>
      <c r="AA287" s="85"/>
    </row>
    <row r="288" spans="2:94" s="55" customFormat="1" ht="12.95" customHeight="1"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60"/>
      <c r="P288" s="54"/>
      <c r="AA288" s="85"/>
    </row>
    <row r="289" spans="2:27" s="55" customFormat="1"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60"/>
      <c r="P289" s="54"/>
      <c r="AA289" s="85"/>
    </row>
    <row r="290" spans="2:27" s="55" customFormat="1"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60"/>
      <c r="P290" s="54"/>
      <c r="AA290" s="85"/>
    </row>
    <row r="291" spans="2:27" s="55" customFormat="1"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60"/>
      <c r="P291" s="54"/>
      <c r="AA291" s="85"/>
    </row>
    <row r="292" spans="2:27" s="55" customFormat="1"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60"/>
      <c r="P292" s="54"/>
      <c r="AA292" s="85"/>
    </row>
    <row r="293" spans="2:27" s="55" customFormat="1"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60"/>
      <c r="P293" s="54"/>
      <c r="AA293" s="85"/>
    </row>
    <row r="294" spans="2:27" s="55" customFormat="1"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60"/>
      <c r="P294" s="54"/>
      <c r="AA294" s="85"/>
    </row>
    <row r="295" spans="2:27" s="55" customFormat="1"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60"/>
      <c r="P295" s="54"/>
      <c r="AA295" s="85"/>
    </row>
    <row r="296" spans="2:27" s="55" customFormat="1"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60"/>
      <c r="P296" s="54"/>
      <c r="AA296" s="85"/>
    </row>
    <row r="297" spans="2:27" s="55" customFormat="1"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60"/>
      <c r="P297" s="54"/>
      <c r="AA297" s="85"/>
    </row>
    <row r="298" spans="2:27" s="55" customFormat="1"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60"/>
      <c r="P298" s="54"/>
      <c r="AA298" s="85"/>
    </row>
    <row r="299" spans="2:27" s="55" customFormat="1"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60"/>
      <c r="P299" s="54"/>
      <c r="AA299" s="85"/>
    </row>
    <row r="300" spans="2:27" s="55" customFormat="1"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60"/>
      <c r="P300" s="54"/>
      <c r="AA300" s="85"/>
    </row>
    <row r="301" spans="2:27" s="55" customFormat="1"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60"/>
      <c r="P301" s="54"/>
      <c r="AA301" s="85"/>
    </row>
    <row r="302" spans="2:27" s="55" customFormat="1"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60"/>
      <c r="P302" s="54"/>
      <c r="AA302" s="85"/>
    </row>
    <row r="303" spans="2:27" s="55" customFormat="1"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60"/>
      <c r="P303" s="54"/>
      <c r="AA303" s="85"/>
    </row>
    <row r="304" spans="2:27" s="55" customFormat="1"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60"/>
      <c r="P304" s="54"/>
      <c r="AA304" s="85"/>
    </row>
    <row r="305" spans="2:27" s="55" customFormat="1"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60"/>
      <c r="P305" s="54"/>
      <c r="AA305" s="85"/>
    </row>
    <row r="306" spans="2:27" s="55" customFormat="1"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60"/>
      <c r="P306" s="54"/>
      <c r="AA306" s="85"/>
    </row>
    <row r="307" spans="2:27" s="55" customFormat="1"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60"/>
      <c r="P307" s="54"/>
      <c r="AA307" s="85"/>
    </row>
    <row r="308" spans="2:27" s="55" customFormat="1"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60"/>
      <c r="P308" s="54"/>
      <c r="AA308" s="85"/>
    </row>
    <row r="309" spans="2:27" s="55" customFormat="1"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60"/>
      <c r="P309" s="54"/>
      <c r="AA309" s="85"/>
    </row>
    <row r="310" spans="2:27" s="55" customFormat="1"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60"/>
      <c r="P310" s="54"/>
      <c r="AA310" s="85"/>
    </row>
    <row r="311" spans="2:27" s="55" customFormat="1"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60"/>
      <c r="P311" s="54"/>
      <c r="AA311" s="85"/>
    </row>
    <row r="312" spans="2:27" s="55" customFormat="1"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60"/>
      <c r="P312" s="54"/>
      <c r="AA312" s="85"/>
    </row>
    <row r="313" spans="2:27" s="55" customFormat="1"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60"/>
      <c r="P313" s="54"/>
      <c r="AA313" s="85"/>
    </row>
    <row r="314" spans="2:27" s="55" customFormat="1"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60"/>
      <c r="P314" s="54"/>
      <c r="AA314" s="85"/>
    </row>
    <row r="315" spans="2:27" s="55" customFormat="1"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60"/>
      <c r="P315" s="54"/>
      <c r="AA315" s="85"/>
    </row>
    <row r="316" spans="2:27" s="55" customFormat="1"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60"/>
      <c r="P316" s="54"/>
      <c r="AA316" s="85"/>
    </row>
    <row r="317" spans="2:27" s="55" customFormat="1"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60"/>
      <c r="P317" s="54"/>
      <c r="AA317" s="85"/>
    </row>
    <row r="318" spans="2:27" s="55" customFormat="1"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60"/>
      <c r="P318" s="54"/>
      <c r="AA318" s="85"/>
    </row>
    <row r="319" spans="2:27" s="55" customFormat="1"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60"/>
      <c r="P319" s="54"/>
      <c r="AA319" s="85"/>
    </row>
    <row r="320" spans="2:27" s="55" customFormat="1"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60"/>
      <c r="P320" s="54"/>
      <c r="AA320" s="85"/>
    </row>
    <row r="321" spans="2:27" s="55" customFormat="1"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60"/>
      <c r="P321" s="54"/>
      <c r="AA321" s="85"/>
    </row>
    <row r="322" spans="2:27" s="55" customFormat="1"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60"/>
      <c r="P322" s="54"/>
      <c r="AA322" s="85"/>
    </row>
    <row r="323" spans="2:27" s="55" customFormat="1"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60"/>
      <c r="P323" s="54"/>
      <c r="AA323" s="85"/>
    </row>
    <row r="324" spans="2:27" s="55" customFormat="1"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60"/>
      <c r="P324" s="54"/>
      <c r="AA324" s="85"/>
    </row>
    <row r="325" spans="2:27" s="55" customFormat="1"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60"/>
      <c r="P325" s="54"/>
      <c r="AA325" s="85"/>
    </row>
    <row r="326" spans="2:27" s="55" customFormat="1"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60"/>
      <c r="P326" s="54"/>
      <c r="AA326" s="85"/>
    </row>
    <row r="327" spans="2:27" s="55" customFormat="1"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60"/>
      <c r="P327" s="54"/>
      <c r="AA327" s="85"/>
    </row>
    <row r="328" spans="2:27" s="55" customFormat="1"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60"/>
      <c r="P328" s="54"/>
      <c r="AA328" s="85"/>
    </row>
    <row r="329" spans="2:27" s="55" customFormat="1"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60"/>
      <c r="P329" s="54"/>
      <c r="AA329" s="85"/>
    </row>
    <row r="330" spans="2:27" s="55" customFormat="1"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60"/>
      <c r="P330" s="54"/>
      <c r="AA330" s="85"/>
    </row>
    <row r="331" spans="2:27" s="55" customFormat="1"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60"/>
      <c r="P331" s="54"/>
      <c r="AA331" s="85"/>
    </row>
    <row r="332" spans="2:27" s="55" customFormat="1"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60"/>
      <c r="P332" s="54"/>
      <c r="AA332" s="85"/>
    </row>
    <row r="333" spans="2:27" s="55" customFormat="1"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60"/>
      <c r="P333" s="54"/>
      <c r="AA333" s="85"/>
    </row>
    <row r="334" spans="2:27" s="55" customFormat="1"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60"/>
      <c r="P334" s="54"/>
      <c r="AA334" s="85"/>
    </row>
    <row r="335" spans="2:27" s="55" customFormat="1"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60"/>
      <c r="P335" s="54"/>
      <c r="AA335" s="85"/>
    </row>
    <row r="336" spans="2:27" s="55" customFormat="1"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60"/>
      <c r="P336" s="54"/>
      <c r="AA336" s="85"/>
    </row>
    <row r="337" spans="2:27" s="55" customFormat="1"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60"/>
      <c r="P337" s="54"/>
      <c r="AA337" s="85"/>
    </row>
    <row r="338" spans="2:27" s="55" customFormat="1"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60"/>
      <c r="P338" s="54"/>
      <c r="AA338" s="85"/>
    </row>
    <row r="339" spans="2:27" s="55" customFormat="1"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60"/>
      <c r="P339" s="54"/>
      <c r="AA339" s="85"/>
    </row>
    <row r="340" spans="2:27" s="55" customFormat="1"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60"/>
      <c r="P340" s="54"/>
      <c r="AA340" s="85"/>
    </row>
    <row r="341" spans="2:27" s="55" customFormat="1"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60"/>
      <c r="P341" s="54"/>
      <c r="AA341" s="85"/>
    </row>
    <row r="342" spans="2:27" s="55" customFormat="1"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60"/>
      <c r="P342" s="54"/>
      <c r="AA342" s="85"/>
    </row>
    <row r="343" spans="2:27" s="55" customFormat="1"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60"/>
      <c r="P343" s="54"/>
      <c r="AA343" s="85"/>
    </row>
    <row r="344" spans="2:27" s="55" customFormat="1"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60"/>
      <c r="P344" s="54"/>
      <c r="AA344" s="85"/>
    </row>
    <row r="345" spans="2:27" s="55" customFormat="1"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60"/>
      <c r="P345" s="54"/>
      <c r="AA345" s="85"/>
    </row>
    <row r="346" spans="2:27" s="55" customFormat="1"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60"/>
      <c r="P346" s="54"/>
      <c r="AA346" s="85"/>
    </row>
    <row r="347" spans="2:27" s="55" customFormat="1"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60"/>
      <c r="P347" s="54"/>
      <c r="AA347" s="85"/>
    </row>
    <row r="348" spans="2:27" s="55" customFormat="1"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60"/>
      <c r="P348" s="54"/>
      <c r="AA348" s="85"/>
    </row>
    <row r="349" spans="2:27" s="55" customFormat="1"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60"/>
      <c r="P349" s="54"/>
      <c r="AA349" s="85"/>
    </row>
    <row r="350" spans="2:27" s="55" customFormat="1"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60"/>
      <c r="P350" s="54"/>
      <c r="AA350" s="85"/>
    </row>
    <row r="351" spans="2:27" s="55" customFormat="1"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60"/>
      <c r="P351" s="54"/>
      <c r="AA351" s="85"/>
    </row>
    <row r="352" spans="2:27" s="55" customFormat="1"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60"/>
      <c r="P352" s="54"/>
      <c r="AA352" s="85"/>
    </row>
    <row r="353" spans="2:27" s="55" customFormat="1"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60"/>
      <c r="P353" s="54"/>
      <c r="AA353" s="85"/>
    </row>
    <row r="354" spans="2:27" s="55" customFormat="1"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60"/>
      <c r="P354" s="54"/>
      <c r="AA354" s="85"/>
    </row>
    <row r="355" spans="2:27" s="55" customFormat="1"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60"/>
      <c r="P355" s="54"/>
      <c r="AA355" s="85"/>
    </row>
    <row r="356" spans="2:27" s="55" customFormat="1"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60"/>
      <c r="P356" s="54"/>
      <c r="AA356" s="85"/>
    </row>
    <row r="357" spans="2:27" s="55" customFormat="1"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60"/>
      <c r="P357" s="54"/>
      <c r="AA357" s="85"/>
    </row>
    <row r="358" spans="2:27" s="55" customFormat="1"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60"/>
      <c r="P358" s="54"/>
      <c r="AA358" s="85"/>
    </row>
    <row r="359" spans="2:27" s="55" customFormat="1"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60"/>
      <c r="P359" s="54"/>
      <c r="AA359" s="85"/>
    </row>
    <row r="360" spans="2:27" s="55" customFormat="1"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60"/>
      <c r="P360" s="54"/>
      <c r="AA360" s="85"/>
    </row>
    <row r="361" spans="2:27" s="55" customFormat="1"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60"/>
      <c r="P361" s="54"/>
      <c r="AA361" s="85"/>
    </row>
    <row r="362" spans="2:27" s="55" customFormat="1"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60"/>
      <c r="P362" s="54"/>
      <c r="AA362" s="85"/>
    </row>
    <row r="363" spans="2:27" s="55" customFormat="1"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60"/>
      <c r="P363" s="54"/>
      <c r="AA363" s="85"/>
    </row>
    <row r="364" spans="2:27" s="55" customFormat="1"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60"/>
      <c r="P364" s="54"/>
      <c r="AA364" s="85"/>
    </row>
    <row r="365" spans="2:27" s="55" customFormat="1"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60"/>
      <c r="P365" s="54"/>
      <c r="AA365" s="85"/>
    </row>
    <row r="366" spans="2:27" s="55" customFormat="1"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60"/>
      <c r="P366" s="54"/>
      <c r="AA366" s="85"/>
    </row>
    <row r="367" spans="2:27" s="55" customFormat="1"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60"/>
      <c r="P367" s="54"/>
      <c r="AA367" s="85"/>
    </row>
    <row r="368" spans="2:27" s="55" customFormat="1"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60"/>
      <c r="P368" s="54"/>
      <c r="AA368" s="85"/>
    </row>
    <row r="369" spans="2:27" s="55" customFormat="1"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60"/>
      <c r="P369" s="54"/>
      <c r="AA369" s="85"/>
    </row>
    <row r="370" spans="2:27" s="55" customFormat="1"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60"/>
      <c r="P370" s="54"/>
      <c r="AA370" s="85"/>
    </row>
    <row r="371" spans="2:27" s="55" customFormat="1"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60"/>
      <c r="P371" s="54"/>
      <c r="AA371" s="85"/>
    </row>
    <row r="372" spans="2:27" s="55" customFormat="1"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60"/>
      <c r="P372" s="54"/>
      <c r="AA372" s="85"/>
    </row>
    <row r="373" spans="2:27" s="55" customFormat="1"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60"/>
      <c r="P373" s="54"/>
      <c r="AA373" s="85"/>
    </row>
    <row r="374" spans="2:27" s="55" customFormat="1"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60"/>
      <c r="P374" s="54"/>
      <c r="AA374" s="85"/>
    </row>
    <row r="375" spans="2:27" s="55" customFormat="1"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60"/>
      <c r="P375" s="54"/>
      <c r="AA375" s="85"/>
    </row>
    <row r="376" spans="2:27" s="55" customFormat="1"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60"/>
      <c r="P376" s="54"/>
      <c r="AA376" s="85"/>
    </row>
    <row r="377" spans="2:27" s="55" customFormat="1"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60"/>
      <c r="P377" s="54"/>
      <c r="AA377" s="85"/>
    </row>
    <row r="378" spans="2:27" s="55" customFormat="1"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60"/>
      <c r="P378" s="54"/>
      <c r="AA378" s="85"/>
    </row>
    <row r="379" spans="2:27" s="55" customFormat="1"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60"/>
      <c r="P379" s="54"/>
      <c r="AA379" s="85"/>
    </row>
    <row r="380" spans="2:27" s="55" customFormat="1"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60"/>
      <c r="P380" s="54"/>
      <c r="AA380" s="85"/>
    </row>
    <row r="381" spans="2:27" s="55" customFormat="1"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60"/>
      <c r="P381" s="54"/>
      <c r="AA381" s="85"/>
    </row>
    <row r="382" spans="2:27" s="55" customFormat="1"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60"/>
      <c r="P382" s="54"/>
      <c r="AA382" s="85"/>
    </row>
    <row r="383" spans="2:27" s="55" customFormat="1"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60"/>
      <c r="P383" s="54"/>
      <c r="AA383" s="85"/>
    </row>
    <row r="384" spans="2:27" s="55" customFormat="1"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60"/>
      <c r="P384" s="54"/>
      <c r="AA384" s="85"/>
    </row>
    <row r="385" spans="2:27" s="55" customFormat="1"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60"/>
      <c r="P385" s="54"/>
      <c r="AA385" s="85"/>
    </row>
    <row r="386" spans="2:27" s="55" customFormat="1"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60"/>
      <c r="P386" s="54"/>
      <c r="AA386" s="85"/>
    </row>
    <row r="387" spans="2:27" s="55" customFormat="1"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60"/>
      <c r="P387" s="54"/>
      <c r="AA387" s="85"/>
    </row>
    <row r="388" spans="2:27" s="55" customFormat="1"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60"/>
      <c r="P388" s="54"/>
      <c r="AA388" s="85"/>
    </row>
    <row r="389" spans="2:27" s="55" customFormat="1"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60"/>
      <c r="P389" s="54"/>
      <c r="AA389" s="85"/>
    </row>
    <row r="390" spans="2:27" s="55" customFormat="1"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60"/>
      <c r="P390" s="54"/>
      <c r="AA390" s="85"/>
    </row>
    <row r="391" spans="2:27" s="55" customFormat="1"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60"/>
      <c r="P391" s="54"/>
      <c r="AA391" s="85"/>
    </row>
    <row r="392" spans="2:27" s="55" customFormat="1"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60"/>
      <c r="P392" s="54"/>
      <c r="AA392" s="85"/>
    </row>
    <row r="393" spans="2:27" s="55" customFormat="1"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60"/>
      <c r="P393" s="54"/>
      <c r="AA393" s="85"/>
    </row>
    <row r="394" spans="2:27" s="55" customFormat="1"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60"/>
      <c r="P394" s="54"/>
      <c r="AA394" s="85"/>
    </row>
    <row r="395" spans="2:27" s="55" customFormat="1"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60"/>
      <c r="P395" s="54"/>
      <c r="AA395" s="85"/>
    </row>
    <row r="396" spans="2:27" s="55" customFormat="1"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60"/>
      <c r="P396" s="54"/>
      <c r="AA396" s="85"/>
    </row>
    <row r="397" spans="2:27" s="55" customFormat="1"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60"/>
      <c r="P397" s="54"/>
      <c r="AA397" s="85"/>
    </row>
    <row r="398" spans="2:27" s="55" customFormat="1"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60"/>
      <c r="P398" s="54"/>
      <c r="AA398" s="85"/>
    </row>
    <row r="399" spans="2:27" s="55" customFormat="1"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60"/>
      <c r="P399" s="54"/>
      <c r="AA399" s="85"/>
    </row>
    <row r="400" spans="2:27" s="55" customFormat="1"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60"/>
      <c r="P400" s="54"/>
      <c r="AA400" s="85"/>
    </row>
    <row r="401" spans="2:27" s="55" customFormat="1"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60"/>
      <c r="P401" s="54"/>
      <c r="AA401" s="85"/>
    </row>
    <row r="402" spans="2:27" s="55" customFormat="1"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60"/>
      <c r="P402" s="54"/>
      <c r="AA402" s="85"/>
    </row>
    <row r="403" spans="2:27" s="55" customFormat="1"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60"/>
      <c r="P403" s="54"/>
      <c r="AA403" s="85"/>
    </row>
    <row r="404" spans="2:27" s="55" customFormat="1"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60"/>
      <c r="P404" s="54"/>
      <c r="AA404" s="85"/>
    </row>
    <row r="405" spans="2:27" s="55" customFormat="1"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60"/>
      <c r="P405" s="54"/>
      <c r="AA405" s="85"/>
    </row>
    <row r="406" spans="2:27" s="55" customFormat="1"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60"/>
      <c r="P406" s="54"/>
      <c r="AA406" s="85"/>
    </row>
    <row r="407" spans="2:27" s="55" customFormat="1"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60"/>
      <c r="P407" s="54"/>
      <c r="AA407" s="85"/>
    </row>
    <row r="408" spans="2:27" s="55" customFormat="1"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60"/>
      <c r="P408" s="54"/>
      <c r="AA408" s="85"/>
    </row>
    <row r="409" spans="2:27" s="55" customFormat="1"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60"/>
      <c r="P409" s="54"/>
      <c r="AA409" s="85"/>
    </row>
    <row r="410" spans="2:27" s="55" customFormat="1"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60"/>
      <c r="P410" s="54"/>
      <c r="AA410" s="85"/>
    </row>
    <row r="411" spans="2:27" s="55" customFormat="1"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60"/>
      <c r="P411" s="54"/>
      <c r="AA411" s="85"/>
    </row>
    <row r="412" spans="2:27" s="55" customFormat="1"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60"/>
      <c r="P412" s="54"/>
      <c r="AA412" s="85"/>
    </row>
    <row r="413" spans="2:27" s="55" customFormat="1"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60"/>
      <c r="P413" s="54"/>
      <c r="AA413" s="85"/>
    </row>
    <row r="414" spans="2:27" s="55" customFormat="1"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60"/>
      <c r="P414" s="54"/>
      <c r="AA414" s="85"/>
    </row>
    <row r="415" spans="2:27" s="55" customFormat="1"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60"/>
      <c r="P415" s="54"/>
      <c r="AA415" s="85"/>
    </row>
    <row r="416" spans="2:27" s="55" customFormat="1"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60"/>
      <c r="P416" s="54"/>
      <c r="AA416" s="85"/>
    </row>
    <row r="417" spans="2:27" s="55" customFormat="1"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60"/>
      <c r="P417" s="54"/>
      <c r="AA417" s="85"/>
    </row>
    <row r="418" spans="2:27" s="55" customFormat="1"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60"/>
      <c r="P418" s="54"/>
      <c r="AA418" s="85"/>
    </row>
    <row r="419" spans="2:27" s="55" customFormat="1"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60"/>
      <c r="P419" s="54"/>
      <c r="AA419" s="85"/>
    </row>
    <row r="420" spans="2:27" s="55" customFormat="1"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60"/>
      <c r="P420" s="54"/>
      <c r="AA420" s="85"/>
    </row>
    <row r="421" spans="2:27" s="55" customFormat="1"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60"/>
      <c r="P421" s="54"/>
      <c r="AA421" s="85"/>
    </row>
    <row r="422" spans="2:27" s="55" customFormat="1"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60"/>
      <c r="P422" s="54"/>
      <c r="AA422" s="85"/>
    </row>
    <row r="423" spans="2:27" s="55" customFormat="1"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60"/>
      <c r="P423" s="54"/>
      <c r="AA423" s="85"/>
    </row>
    <row r="424" spans="2:27" s="55" customFormat="1"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60"/>
      <c r="P424" s="54"/>
      <c r="AA424" s="85"/>
    </row>
    <row r="425" spans="2:27" s="55" customFormat="1"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60"/>
      <c r="P425" s="54"/>
      <c r="AA425" s="85"/>
    </row>
    <row r="426" spans="2:27" s="55" customFormat="1"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60"/>
      <c r="P426" s="54"/>
      <c r="AA426" s="85"/>
    </row>
    <row r="427" spans="2:27" s="55" customFormat="1"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60"/>
      <c r="P427" s="54"/>
      <c r="AA427" s="85"/>
    </row>
    <row r="428" spans="2:27" s="55" customFormat="1"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60"/>
      <c r="P428" s="54"/>
      <c r="AA428" s="85"/>
    </row>
    <row r="429" spans="2:27" s="55" customFormat="1"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60"/>
      <c r="P429" s="54"/>
      <c r="AA429" s="85"/>
    </row>
    <row r="430" spans="2:27" s="55" customFormat="1"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60"/>
      <c r="P430" s="54"/>
      <c r="AA430" s="85"/>
    </row>
    <row r="431" spans="2:27" s="55" customFormat="1"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60"/>
      <c r="P431" s="54"/>
      <c r="AA431" s="85"/>
    </row>
    <row r="432" spans="2:27" s="55" customFormat="1"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60"/>
      <c r="P432" s="54"/>
      <c r="AA432" s="85"/>
    </row>
    <row r="433" spans="2:27" s="55" customFormat="1"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60"/>
      <c r="P433" s="54"/>
      <c r="AA433" s="85"/>
    </row>
    <row r="434" spans="2:27" s="55" customFormat="1"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60"/>
      <c r="P434" s="54"/>
      <c r="AA434" s="85"/>
    </row>
    <row r="435" spans="2:27" s="55" customFormat="1"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60"/>
      <c r="P435" s="54"/>
      <c r="AA435" s="85"/>
    </row>
    <row r="436" spans="2:27" s="55" customFormat="1"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60"/>
      <c r="P436" s="54"/>
      <c r="AA436" s="85"/>
    </row>
    <row r="437" spans="2:27" s="55" customFormat="1"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60"/>
      <c r="P437" s="54"/>
      <c r="AA437" s="85"/>
    </row>
    <row r="438" spans="2:27" s="55" customFormat="1"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60"/>
      <c r="P438" s="54"/>
      <c r="AA438" s="85"/>
    </row>
    <row r="439" spans="2:27" s="55" customFormat="1"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60"/>
      <c r="P439" s="54"/>
      <c r="AA439" s="85"/>
    </row>
    <row r="440" spans="2:27" s="55" customFormat="1"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60"/>
      <c r="P440" s="54"/>
      <c r="AA440" s="85"/>
    </row>
    <row r="441" spans="2:27" s="55" customFormat="1"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60"/>
      <c r="P441" s="54"/>
      <c r="AA441" s="85"/>
    </row>
    <row r="442" spans="2:27" s="55" customFormat="1"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60"/>
      <c r="P442" s="54"/>
      <c r="AA442" s="85"/>
    </row>
    <row r="443" spans="2:27" s="55" customFormat="1"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60"/>
      <c r="P443" s="54"/>
      <c r="AA443" s="85"/>
    </row>
    <row r="444" spans="2:27" s="55" customFormat="1"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60"/>
      <c r="P444" s="54"/>
      <c r="AA444" s="85"/>
    </row>
    <row r="445" spans="2:27" s="55" customFormat="1"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60"/>
      <c r="P445" s="54"/>
      <c r="AA445" s="85"/>
    </row>
    <row r="446" spans="2:27" s="55" customFormat="1"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60"/>
      <c r="P446" s="54"/>
      <c r="AA446" s="85"/>
    </row>
    <row r="447" spans="2:27" s="55" customFormat="1"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60"/>
      <c r="P447" s="54"/>
      <c r="AA447" s="85"/>
    </row>
    <row r="448" spans="2:27" s="55" customFormat="1"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60"/>
      <c r="P448" s="54"/>
      <c r="AA448" s="85"/>
    </row>
    <row r="449" spans="2:27" s="55" customFormat="1"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60"/>
      <c r="P449" s="54"/>
      <c r="AA449" s="85"/>
    </row>
    <row r="450" spans="2:27" s="55" customFormat="1"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60"/>
      <c r="P450" s="54"/>
      <c r="AA450" s="85"/>
    </row>
    <row r="451" spans="2:27" s="55" customFormat="1"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60"/>
      <c r="P451" s="54"/>
      <c r="AA451" s="85"/>
    </row>
    <row r="452" spans="2:27" s="55" customFormat="1"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60"/>
      <c r="P452" s="54"/>
      <c r="AA452" s="85"/>
    </row>
    <row r="453" spans="2:27" s="55" customFormat="1"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60"/>
      <c r="P453" s="54"/>
      <c r="AA453" s="85"/>
    </row>
    <row r="454" spans="2:27" s="55" customFormat="1"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60"/>
      <c r="P454" s="54"/>
      <c r="AA454" s="85"/>
    </row>
    <row r="455" spans="2:27" s="55" customFormat="1"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60"/>
      <c r="P455" s="54"/>
      <c r="AA455" s="85"/>
    </row>
    <row r="456" spans="2:27" s="55" customFormat="1"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60"/>
      <c r="P456" s="54"/>
      <c r="AA456" s="85"/>
    </row>
    <row r="457" spans="2:27" s="55" customFormat="1"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60"/>
      <c r="P457" s="54"/>
      <c r="AA457" s="85"/>
    </row>
    <row r="458" spans="2:27" s="55" customFormat="1"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60"/>
      <c r="P458" s="54"/>
      <c r="AA458" s="85"/>
    </row>
    <row r="459" spans="2:27" s="55" customFormat="1"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60"/>
      <c r="P459" s="54"/>
      <c r="AA459" s="85"/>
    </row>
    <row r="460" spans="2:27" s="55" customFormat="1"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60"/>
      <c r="P460" s="54"/>
      <c r="AA460" s="85"/>
    </row>
    <row r="461" spans="2:27" s="55" customFormat="1"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60"/>
      <c r="P461" s="54"/>
      <c r="AA461" s="85"/>
    </row>
    <row r="462" spans="2:27" s="55" customFormat="1"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60"/>
      <c r="P462" s="54"/>
      <c r="AA462" s="85"/>
    </row>
    <row r="463" spans="2:27" s="55" customFormat="1"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60"/>
      <c r="P463" s="54"/>
      <c r="AA463" s="85"/>
    </row>
    <row r="464" spans="2:27" s="55" customFormat="1"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60"/>
      <c r="P464" s="54"/>
      <c r="AA464" s="85"/>
    </row>
    <row r="465" spans="2:27" s="55" customFormat="1"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60"/>
      <c r="P465" s="54"/>
      <c r="AA465" s="85"/>
    </row>
    <row r="466" spans="2:27" s="55" customFormat="1"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60"/>
      <c r="P466" s="54"/>
      <c r="AA466" s="85"/>
    </row>
    <row r="467" spans="2:27" s="55" customFormat="1"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60"/>
      <c r="P467" s="54"/>
      <c r="AA467" s="85"/>
    </row>
    <row r="468" spans="2:27" s="55" customFormat="1"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60"/>
      <c r="P468" s="54"/>
      <c r="AA468" s="85"/>
    </row>
    <row r="469" spans="2:27" s="55" customFormat="1"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60"/>
      <c r="P469" s="54"/>
      <c r="AA469" s="85"/>
    </row>
    <row r="470" spans="2:27" s="55" customFormat="1"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60"/>
      <c r="P470" s="54"/>
      <c r="AA470" s="85"/>
    </row>
    <row r="471" spans="2:27" s="55" customFormat="1"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60"/>
      <c r="P471" s="54"/>
      <c r="AA471" s="85"/>
    </row>
    <row r="472" spans="2:27" s="55" customFormat="1"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60"/>
      <c r="P472" s="54"/>
      <c r="AA472" s="85"/>
    </row>
    <row r="473" spans="2:27" s="55" customFormat="1"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60"/>
      <c r="P473" s="54"/>
      <c r="AA473" s="85"/>
    </row>
    <row r="474" spans="2:27" s="55" customFormat="1"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60"/>
      <c r="P474" s="54"/>
      <c r="AA474" s="85"/>
    </row>
    <row r="475" spans="2:27" s="55" customFormat="1"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60"/>
      <c r="P475" s="54"/>
      <c r="AA475" s="85"/>
    </row>
    <row r="476" spans="2:27" s="55" customFormat="1"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60"/>
      <c r="P476" s="54"/>
      <c r="AA476" s="85"/>
    </row>
    <row r="477" spans="2:27" s="55" customFormat="1"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60"/>
      <c r="P477" s="54"/>
      <c r="AA477" s="85"/>
    </row>
    <row r="478" spans="2:27" s="55" customFormat="1"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60"/>
      <c r="P478" s="54"/>
      <c r="AA478" s="85"/>
    </row>
    <row r="479" spans="2:27" s="55" customFormat="1"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60"/>
      <c r="P479" s="54"/>
      <c r="AA479" s="85"/>
    </row>
    <row r="480" spans="2:27" s="55" customFormat="1"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60"/>
      <c r="P480" s="54"/>
      <c r="AA480" s="85"/>
    </row>
    <row r="481" spans="2:27" s="55" customFormat="1"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60"/>
      <c r="P481" s="54"/>
      <c r="AA481" s="85"/>
    </row>
    <row r="482" spans="2:27" s="55" customFormat="1"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60"/>
      <c r="P482" s="54"/>
      <c r="AA482" s="85"/>
    </row>
    <row r="483" spans="2:27" s="55" customFormat="1"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60"/>
      <c r="P483" s="54"/>
      <c r="AA483" s="85"/>
    </row>
    <row r="484" spans="2:27" s="55" customFormat="1"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60"/>
      <c r="P484" s="54"/>
      <c r="AA484" s="85"/>
    </row>
    <row r="485" spans="2:27" s="55" customFormat="1"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60"/>
      <c r="P485" s="54"/>
      <c r="AA485" s="85"/>
    </row>
    <row r="486" spans="2:27" s="55" customFormat="1"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60"/>
      <c r="P486" s="54"/>
      <c r="AA486" s="85"/>
    </row>
    <row r="487" spans="2:27" s="55" customFormat="1"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60"/>
      <c r="P487" s="54"/>
      <c r="AA487" s="85"/>
    </row>
    <row r="488" spans="2:27" s="55" customFormat="1"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60"/>
      <c r="P488" s="54"/>
      <c r="AA488" s="85"/>
    </row>
    <row r="489" spans="2:27" s="55" customFormat="1"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60"/>
      <c r="P489" s="54"/>
      <c r="AA489" s="85"/>
    </row>
    <row r="490" spans="2:27" s="55" customFormat="1"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60"/>
      <c r="P490" s="54"/>
      <c r="AA490" s="85"/>
    </row>
    <row r="491" spans="2:27" s="55" customFormat="1"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60"/>
      <c r="P491" s="54"/>
      <c r="AA491" s="85"/>
    </row>
    <row r="492" spans="2:27" s="55" customFormat="1"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60"/>
      <c r="P492" s="54"/>
      <c r="AA492" s="85"/>
    </row>
    <row r="493" spans="2:27" s="55" customFormat="1"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60"/>
      <c r="P493" s="54"/>
      <c r="AA493" s="85"/>
    </row>
    <row r="494" spans="2:27" s="55" customFormat="1"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60"/>
      <c r="P494" s="54"/>
      <c r="AA494" s="85"/>
    </row>
    <row r="495" spans="2:27" s="55" customFormat="1"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60"/>
      <c r="P495" s="54"/>
      <c r="AA495" s="85"/>
    </row>
    <row r="496" spans="2:27" s="55" customFormat="1"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60"/>
      <c r="P496" s="54"/>
      <c r="AA496" s="85"/>
    </row>
    <row r="497" spans="2:47" s="55" customFormat="1"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60"/>
      <c r="P497" s="54"/>
      <c r="AA497" s="85"/>
    </row>
    <row r="498" spans="2:47" s="55" customFormat="1"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60"/>
      <c r="P498" s="54"/>
      <c r="AA498" s="85"/>
    </row>
    <row r="499" spans="2:47" s="55" customFormat="1"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60"/>
      <c r="P499" s="54"/>
      <c r="AA499" s="85"/>
    </row>
    <row r="500" spans="2:47" s="55" customFormat="1"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60"/>
      <c r="P500" s="54"/>
      <c r="AA500" s="85"/>
    </row>
    <row r="501" spans="2:47" s="55" customFormat="1"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60"/>
      <c r="P501" s="54"/>
      <c r="AA501" s="85"/>
    </row>
    <row r="502" spans="2:47" s="55" customFormat="1"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60"/>
      <c r="P502" s="54"/>
      <c r="AA502" s="85"/>
    </row>
    <row r="503" spans="2:47" s="55" customFormat="1"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60"/>
      <c r="P503" s="54"/>
      <c r="AA503" s="85"/>
    </row>
    <row r="504" spans="2:47" s="55" customFormat="1"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60"/>
      <c r="P504" s="54"/>
      <c r="AA504" s="85"/>
    </row>
    <row r="505" spans="2:47" s="55" customFormat="1"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60"/>
      <c r="P505" s="54"/>
      <c r="AA505" s="85"/>
    </row>
    <row r="506" spans="2:47" s="55" customFormat="1"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60"/>
      <c r="P506" s="54"/>
      <c r="AA506" s="85"/>
    </row>
    <row r="507" spans="2:47" s="55" customFormat="1"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60"/>
      <c r="P507" s="54"/>
      <c r="AA507" s="85"/>
    </row>
    <row r="508" spans="2:47" s="55" customFormat="1"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60"/>
      <c r="P508" s="54"/>
      <c r="AA508" s="85"/>
    </row>
    <row r="509" spans="2:47" s="55" customFormat="1"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60"/>
      <c r="P509" s="54"/>
      <c r="AA509" s="85"/>
    </row>
    <row r="510" spans="2:47" s="55" customFormat="1"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60"/>
      <c r="P510" s="54"/>
      <c r="AA510" s="85"/>
    </row>
    <row r="511" spans="2:47" s="55" customFormat="1"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60"/>
      <c r="P511" s="54"/>
      <c r="AA511" s="85"/>
    </row>
    <row r="512" spans="2:47"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60"/>
      <c r="P512" s="54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8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  <c r="AL512" s="55"/>
      <c r="AM512" s="55"/>
      <c r="AN512" s="55"/>
      <c r="AO512" s="55"/>
      <c r="AP512" s="55"/>
      <c r="AQ512" s="55"/>
      <c r="AR512" s="55"/>
      <c r="AS512" s="55"/>
      <c r="AT512" s="55"/>
      <c r="AU512" s="55"/>
    </row>
    <row r="513" spans="2:47"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60"/>
      <c r="P513" s="54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8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  <c r="AL513" s="55"/>
      <c r="AM513" s="55"/>
      <c r="AN513" s="55"/>
      <c r="AO513" s="55"/>
      <c r="AP513" s="55"/>
      <c r="AQ513" s="55"/>
      <c r="AR513" s="55"/>
      <c r="AS513" s="55"/>
      <c r="AT513" s="55"/>
      <c r="AU513" s="55"/>
    </row>
    <row r="514" spans="2:47"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60"/>
      <c r="P514" s="54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8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  <c r="AL514" s="55"/>
      <c r="AM514" s="55"/>
      <c r="AN514" s="55"/>
      <c r="AO514" s="55"/>
      <c r="AP514" s="55"/>
      <c r="AQ514" s="55"/>
      <c r="AR514" s="55"/>
      <c r="AS514" s="55"/>
      <c r="AT514" s="55"/>
      <c r="AU514" s="55"/>
    </row>
    <row r="515" spans="2:47"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60"/>
      <c r="P515" s="54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8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  <c r="AL515" s="55"/>
      <c r="AM515" s="55"/>
      <c r="AN515" s="55"/>
      <c r="AO515" s="55"/>
      <c r="AP515" s="55"/>
      <c r="AQ515" s="55"/>
      <c r="AR515" s="55"/>
      <c r="AS515" s="55"/>
      <c r="AT515" s="55"/>
      <c r="AU515" s="55"/>
    </row>
    <row r="516" spans="2:47"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60"/>
      <c r="P516" s="54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8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  <c r="AL516" s="55"/>
      <c r="AM516" s="55"/>
      <c r="AN516" s="55"/>
      <c r="AO516" s="55"/>
      <c r="AP516" s="55"/>
      <c r="AQ516" s="55"/>
      <c r="AR516" s="55"/>
      <c r="AS516" s="55"/>
      <c r="AT516" s="55"/>
      <c r="AU516" s="55"/>
    </row>
    <row r="517" spans="2:47"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60"/>
      <c r="P517" s="54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85"/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  <c r="AL517" s="55"/>
      <c r="AM517" s="55"/>
      <c r="AN517" s="55"/>
      <c r="AO517" s="55"/>
      <c r="AP517" s="55"/>
      <c r="AQ517" s="55"/>
      <c r="AR517" s="55"/>
      <c r="AS517" s="55"/>
      <c r="AT517" s="55"/>
      <c r="AU517" s="55"/>
    </row>
    <row r="518" spans="2:47"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60"/>
      <c r="P518" s="54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8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  <c r="AL518" s="55"/>
      <c r="AM518" s="55"/>
      <c r="AN518" s="55"/>
      <c r="AO518" s="55"/>
      <c r="AP518" s="55"/>
      <c r="AQ518" s="55"/>
      <c r="AR518" s="55"/>
      <c r="AS518" s="55"/>
      <c r="AT518" s="55"/>
      <c r="AU518" s="55"/>
    </row>
    <row r="519" spans="2:47"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60"/>
      <c r="P519" s="54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85"/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  <c r="AL519" s="55"/>
      <c r="AM519" s="55"/>
      <c r="AN519" s="55"/>
      <c r="AO519" s="55"/>
      <c r="AP519" s="55"/>
      <c r="AQ519" s="55"/>
      <c r="AR519" s="55"/>
      <c r="AS519" s="55"/>
      <c r="AT519" s="55"/>
      <c r="AU519" s="55"/>
    </row>
    <row r="520" spans="2:47"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60"/>
      <c r="P520" s="54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8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  <c r="AL520" s="55"/>
      <c r="AM520" s="55"/>
      <c r="AN520" s="55"/>
      <c r="AO520" s="55"/>
      <c r="AP520" s="55"/>
      <c r="AQ520" s="55"/>
      <c r="AR520" s="55"/>
      <c r="AS520" s="55"/>
      <c r="AT520" s="55"/>
      <c r="AU520" s="55"/>
    </row>
    <row r="521" spans="2:47"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60"/>
      <c r="P521" s="54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8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  <c r="AS521" s="55"/>
      <c r="AT521" s="55"/>
      <c r="AU521" s="55"/>
    </row>
    <row r="522" spans="2:47"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60"/>
      <c r="P522" s="54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8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  <c r="AL522" s="55"/>
      <c r="AM522" s="55"/>
      <c r="AN522" s="55"/>
      <c r="AO522" s="55"/>
      <c r="AP522" s="55"/>
      <c r="AQ522" s="55"/>
      <c r="AR522" s="55"/>
      <c r="AS522" s="55"/>
      <c r="AT522" s="55"/>
      <c r="AU522" s="55"/>
    </row>
    <row r="523" spans="2:47"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60"/>
      <c r="P523" s="54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8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  <c r="AM523" s="55"/>
      <c r="AN523" s="55"/>
      <c r="AO523" s="55"/>
      <c r="AP523" s="55"/>
      <c r="AQ523" s="55"/>
      <c r="AR523" s="55"/>
      <c r="AS523" s="55"/>
      <c r="AT523" s="55"/>
      <c r="AU523" s="55"/>
    </row>
    <row r="524" spans="2:47"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60"/>
      <c r="P524" s="54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8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  <c r="AL524" s="55"/>
      <c r="AM524" s="55"/>
      <c r="AN524" s="55"/>
      <c r="AO524" s="55"/>
      <c r="AP524" s="55"/>
      <c r="AQ524" s="55"/>
      <c r="AR524" s="55"/>
      <c r="AS524" s="55"/>
      <c r="AT524" s="55"/>
      <c r="AU524" s="55"/>
    </row>
    <row r="525" spans="2:47"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60"/>
      <c r="P525" s="54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8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  <c r="AS525" s="55"/>
      <c r="AT525" s="55"/>
      <c r="AU525" s="55"/>
    </row>
    <row r="526" spans="2:47"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60"/>
      <c r="P526" s="54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8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  <c r="AS526" s="55"/>
      <c r="AT526" s="55"/>
      <c r="AU526" s="55"/>
    </row>
    <row r="527" spans="2:47"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60"/>
      <c r="P527" s="54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8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  <c r="AL527" s="55"/>
      <c r="AM527" s="55"/>
      <c r="AN527" s="55"/>
      <c r="AO527" s="55"/>
      <c r="AP527" s="55"/>
      <c r="AQ527" s="55"/>
      <c r="AR527" s="55"/>
      <c r="AS527" s="55"/>
      <c r="AT527" s="55"/>
      <c r="AU527" s="55"/>
    </row>
    <row r="528" spans="2:47"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60"/>
      <c r="P528" s="54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8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  <c r="AL528" s="55"/>
      <c r="AM528" s="55"/>
      <c r="AN528" s="55"/>
      <c r="AO528" s="55"/>
      <c r="AP528" s="55"/>
      <c r="AQ528" s="55"/>
      <c r="AR528" s="55"/>
      <c r="AS528" s="55"/>
      <c r="AT528" s="55"/>
      <c r="AU528" s="55"/>
    </row>
    <row r="529" spans="2:47"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60"/>
      <c r="P529" s="54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8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  <c r="AL529" s="55"/>
      <c r="AM529" s="55"/>
      <c r="AN529" s="55"/>
      <c r="AO529" s="55"/>
      <c r="AP529" s="55"/>
      <c r="AQ529" s="55"/>
      <c r="AR529" s="55"/>
      <c r="AS529" s="55"/>
      <c r="AT529" s="55"/>
      <c r="AU529" s="55"/>
    </row>
    <row r="530" spans="2:47"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60"/>
      <c r="P530" s="54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8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  <c r="AS530" s="55"/>
      <c r="AT530" s="55"/>
      <c r="AU530" s="55"/>
    </row>
    <row r="531" spans="2:47"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60"/>
      <c r="P531" s="54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8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  <c r="AM531" s="55"/>
      <c r="AN531" s="55"/>
      <c r="AO531" s="55"/>
      <c r="AP531" s="55"/>
      <c r="AQ531" s="55"/>
      <c r="AR531" s="55"/>
      <c r="AS531" s="55"/>
      <c r="AT531" s="55"/>
      <c r="AU531" s="55"/>
    </row>
    <row r="532" spans="2:47"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60"/>
      <c r="P532" s="54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8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</row>
    <row r="533" spans="2:47"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60"/>
      <c r="P533" s="54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8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  <c r="AS533" s="55"/>
      <c r="AT533" s="55"/>
      <c r="AU533" s="55"/>
    </row>
    <row r="534" spans="2:47"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60"/>
      <c r="P534" s="54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8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  <c r="AL534" s="55"/>
      <c r="AM534" s="55"/>
      <c r="AN534" s="55"/>
      <c r="AO534" s="55"/>
      <c r="AP534" s="55"/>
      <c r="AQ534" s="55"/>
      <c r="AR534" s="55"/>
      <c r="AS534" s="55"/>
      <c r="AT534" s="55"/>
      <c r="AU534" s="55"/>
    </row>
    <row r="535" spans="2:47"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60"/>
      <c r="P535" s="54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8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  <c r="AS535" s="55"/>
      <c r="AT535" s="55"/>
      <c r="AU535" s="55"/>
    </row>
    <row r="536" spans="2:47"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60"/>
      <c r="P536" s="54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8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  <c r="AM536" s="55"/>
      <c r="AN536" s="55"/>
      <c r="AO536" s="55"/>
      <c r="AP536" s="55"/>
      <c r="AQ536" s="55"/>
      <c r="AR536" s="55"/>
      <c r="AS536" s="55"/>
      <c r="AT536" s="55"/>
      <c r="AU536" s="55"/>
    </row>
    <row r="537" spans="2:47"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60"/>
      <c r="P537" s="54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85"/>
      <c r="AB537" s="55"/>
      <c r="AC537" s="55"/>
      <c r="AD537" s="55"/>
      <c r="AE537" s="55"/>
      <c r="AF537" s="55"/>
      <c r="AG537" s="55"/>
      <c r="AH537" s="55"/>
      <c r="AI537" s="55"/>
      <c r="AJ537" s="55"/>
      <c r="AK537" s="55"/>
      <c r="AL537" s="55"/>
      <c r="AM537" s="55"/>
      <c r="AN537" s="55"/>
      <c r="AO537" s="55"/>
      <c r="AP537" s="55"/>
      <c r="AQ537" s="55"/>
      <c r="AR537" s="55"/>
      <c r="AS537" s="55"/>
      <c r="AT537" s="55"/>
      <c r="AU537" s="55"/>
    </row>
    <row r="538" spans="2:47"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60"/>
      <c r="P538" s="54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85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  <c r="AL538" s="55"/>
      <c r="AM538" s="55"/>
      <c r="AN538" s="55"/>
      <c r="AO538" s="55"/>
      <c r="AP538" s="55"/>
      <c r="AQ538" s="55"/>
      <c r="AR538" s="55"/>
      <c r="AS538" s="55"/>
      <c r="AT538" s="55"/>
      <c r="AU538" s="55"/>
    </row>
    <row r="539" spans="2:47"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60"/>
      <c r="P539" s="54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85"/>
      <c r="AB539" s="55"/>
      <c r="AC539" s="55"/>
      <c r="AD539" s="55"/>
      <c r="AE539" s="55"/>
      <c r="AF539" s="55"/>
      <c r="AG539" s="55"/>
      <c r="AH539" s="55"/>
      <c r="AI539" s="55"/>
      <c r="AJ539" s="55"/>
      <c r="AK539" s="55"/>
      <c r="AL539" s="55"/>
      <c r="AM539" s="55"/>
      <c r="AN539" s="55"/>
      <c r="AO539" s="55"/>
      <c r="AP539" s="55"/>
      <c r="AQ539" s="55"/>
      <c r="AR539" s="55"/>
      <c r="AS539" s="55"/>
      <c r="AT539" s="55"/>
      <c r="AU539" s="55"/>
    </row>
    <row r="540" spans="2:47"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60"/>
      <c r="P540" s="54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8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  <c r="AL540" s="55"/>
      <c r="AM540" s="55"/>
      <c r="AN540" s="55"/>
      <c r="AO540" s="55"/>
      <c r="AP540" s="55"/>
      <c r="AQ540" s="55"/>
      <c r="AR540" s="55"/>
      <c r="AS540" s="55"/>
      <c r="AT540" s="55"/>
      <c r="AU540" s="55"/>
    </row>
    <row r="541" spans="2:47"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60"/>
      <c r="P541" s="54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8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  <c r="AL541" s="55"/>
      <c r="AM541" s="55"/>
      <c r="AN541" s="55"/>
      <c r="AO541" s="55"/>
      <c r="AP541" s="55"/>
      <c r="AQ541" s="55"/>
      <c r="AR541" s="55"/>
      <c r="AS541" s="55"/>
      <c r="AT541" s="55"/>
      <c r="AU541" s="55"/>
    </row>
    <row r="542" spans="2:47"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60"/>
      <c r="P542" s="54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8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  <c r="AS542" s="55"/>
      <c r="AT542" s="55"/>
      <c r="AU542" s="55"/>
    </row>
    <row r="543" spans="2:47"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60"/>
      <c r="P543" s="54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8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  <c r="AL543" s="55"/>
      <c r="AM543" s="55"/>
      <c r="AN543" s="55"/>
      <c r="AO543" s="55"/>
      <c r="AP543" s="55"/>
      <c r="AQ543" s="55"/>
      <c r="AR543" s="55"/>
      <c r="AS543" s="55"/>
      <c r="AT543" s="55"/>
      <c r="AU543" s="55"/>
    </row>
    <row r="544" spans="2:47"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60"/>
      <c r="P544" s="54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8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  <c r="AS544" s="55"/>
      <c r="AT544" s="55"/>
      <c r="AU544" s="55"/>
    </row>
    <row r="545" spans="2:47"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60"/>
      <c r="P545" s="54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85"/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  <c r="AL545" s="55"/>
      <c r="AM545" s="55"/>
      <c r="AN545" s="55"/>
      <c r="AO545" s="55"/>
      <c r="AP545" s="55"/>
      <c r="AQ545" s="55"/>
      <c r="AR545" s="55"/>
      <c r="AS545" s="55"/>
      <c r="AT545" s="55"/>
      <c r="AU545" s="55"/>
    </row>
    <row r="546" spans="2:47"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60"/>
      <c r="P546" s="54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85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  <c r="AL546" s="55"/>
      <c r="AM546" s="55"/>
      <c r="AN546" s="55"/>
      <c r="AO546" s="55"/>
      <c r="AP546" s="55"/>
      <c r="AQ546" s="55"/>
      <c r="AR546" s="55"/>
      <c r="AS546" s="55"/>
      <c r="AT546" s="55"/>
      <c r="AU546" s="55"/>
    </row>
    <row r="547" spans="2:47"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60"/>
      <c r="P547" s="54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85"/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  <c r="AL547" s="55"/>
      <c r="AM547" s="55"/>
      <c r="AN547" s="55"/>
      <c r="AO547" s="55"/>
      <c r="AP547" s="55"/>
      <c r="AQ547" s="55"/>
      <c r="AR547" s="55"/>
      <c r="AS547" s="55"/>
      <c r="AT547" s="55"/>
      <c r="AU547" s="55"/>
    </row>
    <row r="548" spans="2:47"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60"/>
      <c r="P548" s="54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8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  <c r="AL548" s="55"/>
      <c r="AM548" s="55"/>
      <c r="AN548" s="55"/>
      <c r="AO548" s="55"/>
      <c r="AP548" s="55"/>
      <c r="AQ548" s="55"/>
      <c r="AR548" s="55"/>
      <c r="AS548" s="55"/>
      <c r="AT548" s="55"/>
      <c r="AU548" s="55"/>
    </row>
    <row r="549" spans="2:47"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60"/>
      <c r="P549" s="54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85"/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  <c r="AL549" s="55"/>
      <c r="AM549" s="55"/>
      <c r="AN549" s="55"/>
      <c r="AO549" s="55"/>
      <c r="AP549" s="55"/>
      <c r="AQ549" s="55"/>
      <c r="AR549" s="55"/>
      <c r="AS549" s="55"/>
      <c r="AT549" s="55"/>
      <c r="AU549" s="55"/>
    </row>
    <row r="550" spans="2:47"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60"/>
      <c r="P550" s="54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85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  <c r="AL550" s="55"/>
      <c r="AM550" s="55"/>
      <c r="AN550" s="55"/>
      <c r="AO550" s="55"/>
      <c r="AP550" s="55"/>
      <c r="AQ550" s="55"/>
      <c r="AR550" s="55"/>
      <c r="AS550" s="55"/>
      <c r="AT550" s="55"/>
      <c r="AU550" s="55"/>
    </row>
    <row r="551" spans="2:47"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60"/>
      <c r="P551" s="54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8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  <c r="AS551" s="55"/>
      <c r="AT551" s="55"/>
      <c r="AU551" s="55"/>
    </row>
    <row r="552" spans="2:47"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60"/>
      <c r="P552" s="54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8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  <c r="AS552" s="55"/>
      <c r="AT552" s="55"/>
      <c r="AU552" s="55"/>
    </row>
    <row r="553" spans="2:47"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60"/>
      <c r="P553" s="54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8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  <c r="AS553" s="55"/>
      <c r="AT553" s="55"/>
      <c r="AU553" s="55"/>
    </row>
    <row r="554" spans="2:47"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60"/>
      <c r="P554" s="54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8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</row>
    <row r="555" spans="2:47"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60"/>
      <c r="P555" s="54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8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  <c r="AS555" s="55"/>
      <c r="AT555" s="55"/>
      <c r="AU555" s="55"/>
    </row>
    <row r="556" spans="2:47"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60"/>
      <c r="P556" s="54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8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  <c r="AS556" s="55"/>
      <c r="AT556" s="55"/>
      <c r="AU556" s="55"/>
    </row>
    <row r="557" spans="2:47"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60"/>
      <c r="P557" s="54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8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  <c r="AS557" s="55"/>
      <c r="AT557" s="55"/>
      <c r="AU557" s="55"/>
    </row>
    <row r="558" spans="2:47"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60"/>
      <c r="P558" s="54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8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  <c r="AS558" s="55"/>
      <c r="AT558" s="55"/>
      <c r="AU558" s="55"/>
    </row>
    <row r="559" spans="2:47"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60"/>
      <c r="P559" s="54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85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  <c r="AL559" s="55"/>
      <c r="AM559" s="55"/>
      <c r="AN559" s="55"/>
      <c r="AO559" s="55"/>
      <c r="AP559" s="55"/>
      <c r="AQ559" s="55"/>
      <c r="AR559" s="55"/>
      <c r="AS559" s="55"/>
      <c r="AT559" s="55"/>
      <c r="AU559" s="55"/>
    </row>
    <row r="560" spans="2:47"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60"/>
      <c r="P560" s="54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85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  <c r="AL560" s="55"/>
      <c r="AM560" s="55"/>
      <c r="AN560" s="55"/>
      <c r="AO560" s="55"/>
      <c r="AP560" s="55"/>
      <c r="AQ560" s="55"/>
      <c r="AR560" s="55"/>
      <c r="AS560" s="55"/>
      <c r="AT560" s="55"/>
      <c r="AU560" s="55"/>
    </row>
    <row r="561" spans="2:47"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60"/>
      <c r="P561" s="54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85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  <c r="AL561" s="55"/>
      <c r="AM561" s="55"/>
      <c r="AN561" s="55"/>
      <c r="AO561" s="55"/>
      <c r="AP561" s="55"/>
      <c r="AQ561" s="55"/>
      <c r="AR561" s="55"/>
      <c r="AS561" s="55"/>
      <c r="AT561" s="55"/>
      <c r="AU561" s="55"/>
    </row>
    <row r="562" spans="2:47"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60"/>
      <c r="P562" s="54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85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  <c r="AL562" s="55"/>
      <c r="AM562" s="55"/>
      <c r="AN562" s="55"/>
      <c r="AO562" s="55"/>
      <c r="AP562" s="55"/>
      <c r="AQ562" s="55"/>
      <c r="AR562" s="55"/>
      <c r="AS562" s="55"/>
      <c r="AT562" s="55"/>
      <c r="AU562" s="55"/>
    </row>
    <row r="563" spans="2:47"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60"/>
      <c r="P563" s="54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85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  <c r="AL563" s="55"/>
      <c r="AM563" s="55"/>
      <c r="AN563" s="55"/>
      <c r="AO563" s="55"/>
      <c r="AP563" s="55"/>
      <c r="AQ563" s="55"/>
      <c r="AR563" s="55"/>
      <c r="AS563" s="55"/>
      <c r="AT563" s="55"/>
      <c r="AU563" s="55"/>
    </row>
    <row r="564" spans="2:47"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60"/>
      <c r="P564" s="54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8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  <c r="AL564" s="55"/>
      <c r="AM564" s="55"/>
      <c r="AN564" s="55"/>
      <c r="AO564" s="55"/>
      <c r="AP564" s="55"/>
      <c r="AQ564" s="55"/>
      <c r="AR564" s="55"/>
      <c r="AS564" s="55"/>
      <c r="AT564" s="55"/>
      <c r="AU564" s="55"/>
    </row>
    <row r="565" spans="2:47"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60"/>
      <c r="P565" s="54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8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  <c r="AL565" s="55"/>
      <c r="AM565" s="55"/>
      <c r="AN565" s="55"/>
      <c r="AO565" s="55"/>
      <c r="AP565" s="55"/>
      <c r="AQ565" s="55"/>
      <c r="AR565" s="55"/>
      <c r="AS565" s="55"/>
      <c r="AT565" s="55"/>
      <c r="AU565" s="55"/>
    </row>
    <row r="566" spans="2:47"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60"/>
      <c r="P566" s="54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8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  <c r="AL566" s="55"/>
      <c r="AM566" s="55"/>
      <c r="AN566" s="55"/>
      <c r="AO566" s="55"/>
      <c r="AP566" s="55"/>
      <c r="AQ566" s="55"/>
      <c r="AR566" s="55"/>
      <c r="AS566" s="55"/>
      <c r="AT566" s="55"/>
      <c r="AU566" s="55"/>
    </row>
    <row r="567" spans="2:47"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60"/>
      <c r="P567" s="54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85"/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  <c r="AL567" s="55"/>
      <c r="AM567" s="55"/>
      <c r="AN567" s="55"/>
      <c r="AO567" s="55"/>
      <c r="AP567" s="55"/>
      <c r="AQ567" s="55"/>
      <c r="AR567" s="55"/>
      <c r="AS567" s="55"/>
      <c r="AT567" s="55"/>
      <c r="AU567" s="55"/>
    </row>
    <row r="568" spans="2:47"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60"/>
      <c r="P568" s="54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85"/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  <c r="AL568" s="55"/>
      <c r="AM568" s="55"/>
      <c r="AN568" s="55"/>
      <c r="AO568" s="55"/>
      <c r="AP568" s="55"/>
      <c r="AQ568" s="55"/>
      <c r="AR568" s="55"/>
      <c r="AS568" s="55"/>
      <c r="AT568" s="55"/>
      <c r="AU568" s="55"/>
    </row>
    <row r="569" spans="2:47"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60"/>
      <c r="P569" s="54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85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  <c r="AL569" s="55"/>
      <c r="AM569" s="55"/>
      <c r="AN569" s="55"/>
      <c r="AO569" s="55"/>
      <c r="AP569" s="55"/>
      <c r="AQ569" s="55"/>
      <c r="AR569" s="55"/>
      <c r="AS569" s="55"/>
      <c r="AT569" s="55"/>
      <c r="AU569" s="55"/>
    </row>
    <row r="570" spans="2:47"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60"/>
      <c r="P570" s="54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8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  <c r="AS570" s="55"/>
      <c r="AT570" s="55"/>
      <c r="AU570" s="55"/>
    </row>
    <row r="571" spans="2:47"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60"/>
      <c r="P571" s="54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85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  <c r="AL571" s="55"/>
      <c r="AM571" s="55"/>
      <c r="AN571" s="55"/>
      <c r="AO571" s="55"/>
      <c r="AP571" s="55"/>
      <c r="AQ571" s="55"/>
      <c r="AR571" s="55"/>
      <c r="AS571" s="55"/>
      <c r="AT571" s="55"/>
      <c r="AU571" s="55"/>
    </row>
    <row r="572" spans="2:47"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60"/>
      <c r="P572" s="54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85"/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  <c r="AL572" s="55"/>
      <c r="AM572" s="55"/>
      <c r="AN572" s="55"/>
      <c r="AO572" s="55"/>
      <c r="AP572" s="55"/>
      <c r="AQ572" s="55"/>
      <c r="AR572" s="55"/>
      <c r="AS572" s="55"/>
      <c r="AT572" s="55"/>
      <c r="AU572" s="55"/>
    </row>
    <row r="573" spans="2:47"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60"/>
      <c r="P573" s="54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8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  <c r="AS573" s="55"/>
      <c r="AT573" s="55"/>
      <c r="AU573" s="55"/>
    </row>
    <row r="574" spans="2:47"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60"/>
      <c r="P574" s="54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8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  <c r="AL574" s="55"/>
      <c r="AM574" s="55"/>
      <c r="AN574" s="55"/>
      <c r="AO574" s="55"/>
      <c r="AP574" s="55"/>
      <c r="AQ574" s="55"/>
      <c r="AR574" s="55"/>
      <c r="AS574" s="55"/>
      <c r="AT574" s="55"/>
      <c r="AU574" s="55"/>
    </row>
    <row r="575" spans="2:47"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60"/>
      <c r="P575" s="54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85"/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  <c r="AL575" s="55"/>
      <c r="AM575" s="55"/>
      <c r="AN575" s="55"/>
      <c r="AO575" s="55"/>
      <c r="AP575" s="55"/>
      <c r="AQ575" s="55"/>
      <c r="AR575" s="55"/>
      <c r="AS575" s="55"/>
      <c r="AT575" s="55"/>
      <c r="AU575" s="55"/>
    </row>
    <row r="576" spans="2:47"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60"/>
      <c r="P576" s="54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85"/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  <c r="AL576" s="55"/>
      <c r="AM576" s="55"/>
      <c r="AN576" s="55"/>
      <c r="AO576" s="55"/>
      <c r="AP576" s="55"/>
      <c r="AQ576" s="55"/>
      <c r="AR576" s="55"/>
      <c r="AS576" s="55"/>
      <c r="AT576" s="55"/>
      <c r="AU576" s="55"/>
    </row>
    <row r="577" spans="2:47"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60"/>
      <c r="P577" s="54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85"/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  <c r="AL577" s="55"/>
      <c r="AM577" s="55"/>
      <c r="AN577" s="55"/>
      <c r="AO577" s="55"/>
      <c r="AP577" s="55"/>
      <c r="AQ577" s="55"/>
      <c r="AR577" s="55"/>
      <c r="AS577" s="55"/>
      <c r="AT577" s="55"/>
      <c r="AU577" s="55"/>
    </row>
    <row r="578" spans="2:47"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60"/>
      <c r="P578" s="54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8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  <c r="AS578" s="55"/>
      <c r="AT578" s="55"/>
      <c r="AU578" s="55"/>
    </row>
    <row r="579" spans="2:47"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60"/>
      <c r="P579" s="54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8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  <c r="AS579" s="55"/>
      <c r="AT579" s="55"/>
      <c r="AU579" s="55"/>
    </row>
    <row r="580" spans="2:47"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60"/>
      <c r="P580" s="54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8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  <c r="AS580" s="55"/>
      <c r="AT580" s="55"/>
      <c r="AU580" s="55"/>
    </row>
    <row r="581" spans="2:47"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60"/>
      <c r="P581" s="54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85"/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  <c r="AL581" s="55"/>
      <c r="AM581" s="55"/>
      <c r="AN581" s="55"/>
      <c r="AO581" s="55"/>
      <c r="AP581" s="55"/>
      <c r="AQ581" s="55"/>
      <c r="AR581" s="55"/>
      <c r="AS581" s="55"/>
      <c r="AT581" s="55"/>
      <c r="AU581" s="55"/>
    </row>
    <row r="582" spans="2:47"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60"/>
      <c r="P582" s="54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8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  <c r="AL582" s="55"/>
      <c r="AM582" s="55"/>
      <c r="AN582" s="55"/>
      <c r="AO582" s="55"/>
      <c r="AP582" s="55"/>
      <c r="AQ582" s="55"/>
      <c r="AR582" s="55"/>
      <c r="AS582" s="55"/>
      <c r="AT582" s="55"/>
      <c r="AU582" s="55"/>
    </row>
    <row r="583" spans="2:47"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60"/>
      <c r="P583" s="54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8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  <c r="AS583" s="55"/>
      <c r="AT583" s="55"/>
      <c r="AU583" s="55"/>
    </row>
    <row r="584" spans="2:47"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60"/>
      <c r="P584" s="54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8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  <c r="AS584" s="55"/>
      <c r="AT584" s="55"/>
      <c r="AU584" s="55"/>
    </row>
    <row r="585" spans="2:47"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60"/>
      <c r="P585" s="54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8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  <c r="AS585" s="55"/>
      <c r="AT585" s="55"/>
      <c r="AU585" s="55"/>
    </row>
    <row r="586" spans="2:47"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60"/>
      <c r="P586" s="54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85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  <c r="AL586" s="55"/>
      <c r="AM586" s="55"/>
      <c r="AN586" s="55"/>
      <c r="AO586" s="55"/>
      <c r="AP586" s="55"/>
      <c r="AQ586" s="55"/>
      <c r="AR586" s="55"/>
      <c r="AS586" s="55"/>
      <c r="AT586" s="55"/>
      <c r="AU586" s="55"/>
    </row>
    <row r="587" spans="2:47"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60"/>
      <c r="P587" s="54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8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  <c r="AS587" s="55"/>
      <c r="AT587" s="55"/>
      <c r="AU587" s="55"/>
    </row>
    <row r="588" spans="2:47"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60"/>
      <c r="P588" s="54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8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  <c r="AS588" s="55"/>
      <c r="AT588" s="55"/>
      <c r="AU588" s="55"/>
    </row>
    <row r="589" spans="2:47"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60"/>
      <c r="P589" s="54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8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  <c r="AS589" s="55"/>
      <c r="AT589" s="55"/>
      <c r="AU589" s="55"/>
    </row>
    <row r="590" spans="2:47"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60"/>
      <c r="P590" s="54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8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</row>
    <row r="591" spans="2:47"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60"/>
      <c r="P591" s="54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8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  <c r="AS591" s="55"/>
      <c r="AT591" s="55"/>
      <c r="AU591" s="55"/>
    </row>
    <row r="592" spans="2:47"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60"/>
      <c r="P592" s="54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8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  <c r="AL592" s="55"/>
      <c r="AM592" s="55"/>
      <c r="AN592" s="55"/>
      <c r="AO592" s="55"/>
      <c r="AP592" s="55"/>
      <c r="AQ592" s="55"/>
      <c r="AR592" s="55"/>
      <c r="AS592" s="55"/>
      <c r="AT592" s="55"/>
      <c r="AU592" s="55"/>
    </row>
    <row r="593" spans="2:47"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60"/>
      <c r="P593" s="54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8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  <c r="AS593" s="55"/>
      <c r="AT593" s="55"/>
      <c r="AU593" s="55"/>
    </row>
    <row r="594" spans="2:47"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60"/>
      <c r="P594" s="54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8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  <c r="AS594" s="55"/>
      <c r="AT594" s="55"/>
      <c r="AU594" s="55"/>
    </row>
    <row r="595" spans="2:47"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60"/>
      <c r="P595" s="54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8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  <c r="AS595" s="55"/>
      <c r="AT595" s="55"/>
      <c r="AU595" s="55"/>
    </row>
    <row r="596" spans="2:47"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60"/>
      <c r="P596" s="54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85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  <c r="AL596" s="55"/>
      <c r="AM596" s="55"/>
      <c r="AN596" s="55"/>
      <c r="AO596" s="55"/>
      <c r="AP596" s="55"/>
      <c r="AQ596" s="55"/>
      <c r="AR596" s="55"/>
      <c r="AS596" s="55"/>
      <c r="AT596" s="55"/>
      <c r="AU596" s="55"/>
    </row>
    <row r="597" spans="2:47"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60"/>
      <c r="P597" s="54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8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  <c r="AS597" s="55"/>
      <c r="AT597" s="55"/>
      <c r="AU597" s="55"/>
    </row>
    <row r="598" spans="2:47"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60"/>
      <c r="P598" s="54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8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  <c r="AS598" s="55"/>
      <c r="AT598" s="55"/>
      <c r="AU598" s="55"/>
    </row>
    <row r="599" spans="2:47"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60"/>
      <c r="P599" s="54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8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  <c r="AS599" s="55"/>
      <c r="AT599" s="55"/>
      <c r="AU599" s="55"/>
    </row>
    <row r="600" spans="2:47"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60"/>
      <c r="P600" s="54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8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  <c r="AS600" s="55"/>
      <c r="AT600" s="55"/>
      <c r="AU600" s="55"/>
    </row>
    <row r="601" spans="2:47"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60"/>
      <c r="P601" s="54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8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  <c r="AS601" s="55"/>
      <c r="AT601" s="55"/>
      <c r="AU601" s="55"/>
    </row>
    <row r="602" spans="2:47"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60"/>
      <c r="P602" s="54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8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  <c r="AL602" s="55"/>
      <c r="AM602" s="55"/>
      <c r="AN602" s="55"/>
      <c r="AO602" s="55"/>
      <c r="AP602" s="55"/>
      <c r="AQ602" s="55"/>
      <c r="AR602" s="55"/>
      <c r="AS602" s="55"/>
      <c r="AT602" s="55"/>
      <c r="AU602" s="55"/>
    </row>
    <row r="603" spans="2:47"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60"/>
      <c r="P603" s="54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8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  <c r="AL603" s="55"/>
      <c r="AM603" s="55"/>
      <c r="AN603" s="55"/>
      <c r="AO603" s="55"/>
      <c r="AP603" s="55"/>
      <c r="AQ603" s="55"/>
      <c r="AR603" s="55"/>
      <c r="AS603" s="55"/>
      <c r="AT603" s="55"/>
      <c r="AU603" s="55"/>
    </row>
    <row r="604" spans="2:47"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60"/>
      <c r="P604" s="54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85"/>
      <c r="AB604" s="55"/>
      <c r="AC604" s="55"/>
      <c r="AD604" s="55"/>
      <c r="AE604" s="55"/>
      <c r="AF604" s="55"/>
      <c r="AG604" s="55"/>
      <c r="AH604" s="55"/>
      <c r="AI604" s="55"/>
      <c r="AJ604" s="55"/>
      <c r="AK604" s="55"/>
      <c r="AL604" s="55"/>
      <c r="AM604" s="55"/>
      <c r="AN604" s="55"/>
      <c r="AO604" s="55"/>
      <c r="AP604" s="55"/>
      <c r="AQ604" s="55"/>
      <c r="AR604" s="55"/>
      <c r="AS604" s="55"/>
      <c r="AT604" s="55"/>
      <c r="AU604" s="55"/>
    </row>
    <row r="605" spans="2:47"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60"/>
      <c r="P605" s="54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8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  <c r="AL605" s="55"/>
      <c r="AM605" s="55"/>
      <c r="AN605" s="55"/>
      <c r="AO605" s="55"/>
      <c r="AP605" s="55"/>
      <c r="AQ605" s="55"/>
      <c r="AR605" s="55"/>
      <c r="AS605" s="55"/>
      <c r="AT605" s="55"/>
      <c r="AU605" s="55"/>
    </row>
    <row r="606" spans="2:47"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60"/>
      <c r="P606" s="54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8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5"/>
      <c r="AP606" s="55"/>
      <c r="AQ606" s="55"/>
      <c r="AR606" s="55"/>
      <c r="AS606" s="55"/>
      <c r="AT606" s="55"/>
      <c r="AU606" s="55"/>
    </row>
    <row r="607" spans="2:47"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60"/>
      <c r="P607" s="54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8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5"/>
      <c r="AP607" s="55"/>
      <c r="AQ607" s="55"/>
      <c r="AR607" s="55"/>
      <c r="AS607" s="55"/>
      <c r="AT607" s="55"/>
      <c r="AU607" s="55"/>
    </row>
    <row r="608" spans="2:47"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60"/>
      <c r="P608" s="54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85"/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  <c r="AL608" s="55"/>
      <c r="AM608" s="55"/>
      <c r="AN608" s="55"/>
      <c r="AO608" s="55"/>
      <c r="AP608" s="55"/>
      <c r="AQ608" s="55"/>
      <c r="AR608" s="55"/>
      <c r="AS608" s="55"/>
      <c r="AT608" s="55"/>
      <c r="AU608" s="55"/>
    </row>
    <row r="609" spans="2:47"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60"/>
      <c r="P609" s="54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8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  <c r="AL609" s="55"/>
      <c r="AM609" s="55"/>
      <c r="AN609" s="55"/>
      <c r="AO609" s="55"/>
      <c r="AP609" s="55"/>
      <c r="AQ609" s="55"/>
      <c r="AR609" s="55"/>
      <c r="AS609" s="55"/>
      <c r="AT609" s="55"/>
      <c r="AU609" s="55"/>
    </row>
    <row r="610" spans="2:47"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60"/>
      <c r="P610" s="54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85"/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  <c r="AL610" s="55"/>
      <c r="AM610" s="55"/>
      <c r="AN610" s="55"/>
      <c r="AO610" s="55"/>
      <c r="AP610" s="55"/>
      <c r="AQ610" s="55"/>
      <c r="AR610" s="55"/>
      <c r="AS610" s="55"/>
      <c r="AT610" s="55"/>
      <c r="AU610" s="55"/>
    </row>
    <row r="611" spans="2:47"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60"/>
      <c r="P611" s="54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85"/>
      <c r="AB611" s="55"/>
      <c r="AC611" s="55"/>
      <c r="AD611" s="55"/>
      <c r="AE611" s="55"/>
      <c r="AF611" s="55"/>
      <c r="AG611" s="55"/>
      <c r="AH611" s="55"/>
      <c r="AI611" s="55"/>
      <c r="AJ611" s="55"/>
      <c r="AK611" s="55"/>
      <c r="AL611" s="55"/>
      <c r="AM611" s="55"/>
      <c r="AN611" s="55"/>
      <c r="AO611" s="55"/>
      <c r="AP611" s="55"/>
      <c r="AQ611" s="55"/>
      <c r="AR611" s="55"/>
      <c r="AS611" s="55"/>
      <c r="AT611" s="55"/>
      <c r="AU611" s="55"/>
    </row>
    <row r="612" spans="2:47"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60"/>
      <c r="P612" s="54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8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5"/>
      <c r="AP612" s="55"/>
      <c r="AQ612" s="55"/>
      <c r="AR612" s="55"/>
      <c r="AS612" s="55"/>
      <c r="AT612" s="55"/>
      <c r="AU612" s="55"/>
    </row>
    <row r="613" spans="2:47"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60"/>
      <c r="P613" s="54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8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  <c r="AL613" s="55"/>
      <c r="AM613" s="55"/>
      <c r="AN613" s="55"/>
      <c r="AO613" s="55"/>
      <c r="AP613" s="55"/>
      <c r="AQ613" s="55"/>
      <c r="AR613" s="55"/>
      <c r="AS613" s="55"/>
      <c r="AT613" s="55"/>
      <c r="AU613" s="55"/>
    </row>
    <row r="614" spans="2:47"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60"/>
      <c r="P614" s="54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8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  <c r="AS614" s="55"/>
      <c r="AT614" s="55"/>
      <c r="AU614" s="55"/>
    </row>
    <row r="615" spans="2:47"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60"/>
      <c r="P615" s="54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8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  <c r="AL615" s="55"/>
      <c r="AM615" s="55"/>
      <c r="AN615" s="55"/>
      <c r="AO615" s="55"/>
      <c r="AP615" s="55"/>
      <c r="AQ615" s="55"/>
      <c r="AR615" s="55"/>
      <c r="AS615" s="55"/>
      <c r="AT615" s="55"/>
      <c r="AU615" s="55"/>
    </row>
    <row r="616" spans="2:47"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60"/>
      <c r="P616" s="54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8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  <c r="AL616" s="55"/>
      <c r="AM616" s="55"/>
      <c r="AN616" s="55"/>
      <c r="AO616" s="55"/>
      <c r="AP616" s="55"/>
      <c r="AQ616" s="55"/>
      <c r="AR616" s="55"/>
      <c r="AS616" s="55"/>
      <c r="AT616" s="55"/>
      <c r="AU616" s="55"/>
    </row>
    <row r="617" spans="2:47"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60"/>
      <c r="P617" s="54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8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  <c r="AS617" s="55"/>
      <c r="AT617" s="55"/>
      <c r="AU617" s="55"/>
    </row>
    <row r="618" spans="2:47"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60"/>
      <c r="P618" s="54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85"/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  <c r="AL618" s="55"/>
      <c r="AM618" s="55"/>
      <c r="AN618" s="55"/>
      <c r="AO618" s="55"/>
      <c r="AP618" s="55"/>
      <c r="AQ618" s="55"/>
      <c r="AR618" s="55"/>
      <c r="AS618" s="55"/>
      <c r="AT618" s="55"/>
      <c r="AU618" s="55"/>
    </row>
    <row r="619" spans="2:47"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60"/>
      <c r="P619" s="54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85"/>
      <c r="AB619" s="55"/>
      <c r="AC619" s="55"/>
      <c r="AD619" s="55"/>
      <c r="AE619" s="55"/>
      <c r="AF619" s="55"/>
      <c r="AG619" s="55"/>
      <c r="AH619" s="55"/>
      <c r="AI619" s="55"/>
      <c r="AJ619" s="55"/>
      <c r="AK619" s="55"/>
      <c r="AL619" s="55"/>
      <c r="AM619" s="55"/>
      <c r="AN619" s="55"/>
      <c r="AO619" s="55"/>
      <c r="AP619" s="55"/>
      <c r="AQ619" s="55"/>
      <c r="AR619" s="55"/>
      <c r="AS619" s="55"/>
      <c r="AT619" s="55"/>
      <c r="AU619" s="55"/>
    </row>
    <row r="620" spans="2:47"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60"/>
      <c r="P620" s="54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8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  <c r="AL620" s="55"/>
      <c r="AM620" s="55"/>
      <c r="AN620" s="55"/>
      <c r="AO620" s="55"/>
      <c r="AP620" s="55"/>
      <c r="AQ620" s="55"/>
      <c r="AR620" s="55"/>
      <c r="AS620" s="55"/>
      <c r="AT620" s="55"/>
      <c r="AU620" s="55"/>
    </row>
    <row r="621" spans="2:47"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60"/>
      <c r="P621" s="54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8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  <c r="AS621" s="55"/>
      <c r="AT621" s="55"/>
      <c r="AU621" s="55"/>
    </row>
    <row r="622" spans="2:47"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60"/>
      <c r="P622" s="54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85"/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  <c r="AL622" s="55"/>
      <c r="AM622" s="55"/>
      <c r="AN622" s="55"/>
      <c r="AO622" s="55"/>
      <c r="AP622" s="55"/>
      <c r="AQ622" s="55"/>
      <c r="AR622" s="55"/>
      <c r="AS622" s="55"/>
      <c r="AT622" s="55"/>
      <c r="AU622" s="55"/>
    </row>
    <row r="623" spans="2:47"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60"/>
      <c r="P623" s="54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85"/>
      <c r="AB623" s="55"/>
      <c r="AC623" s="55"/>
      <c r="AD623" s="55"/>
      <c r="AE623" s="55"/>
      <c r="AF623" s="55"/>
      <c r="AG623" s="55"/>
      <c r="AH623" s="55"/>
      <c r="AI623" s="55"/>
      <c r="AJ623" s="55"/>
      <c r="AK623" s="55"/>
      <c r="AL623" s="55"/>
      <c r="AM623" s="55"/>
      <c r="AN623" s="55"/>
      <c r="AO623" s="55"/>
      <c r="AP623" s="55"/>
      <c r="AQ623" s="55"/>
      <c r="AR623" s="55"/>
      <c r="AS623" s="55"/>
      <c r="AT623" s="55"/>
      <c r="AU623" s="55"/>
    </row>
    <row r="624" spans="2:47"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60"/>
      <c r="P624" s="54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85"/>
      <c r="AB624" s="55"/>
      <c r="AC624" s="55"/>
      <c r="AD624" s="55"/>
      <c r="AE624" s="55"/>
      <c r="AF624" s="55"/>
      <c r="AG624" s="55"/>
      <c r="AH624" s="55"/>
      <c r="AI624" s="55"/>
      <c r="AJ624" s="55"/>
      <c r="AK624" s="55"/>
      <c r="AL624" s="55"/>
      <c r="AM624" s="55"/>
      <c r="AN624" s="55"/>
      <c r="AO624" s="55"/>
      <c r="AP624" s="55"/>
      <c r="AQ624" s="55"/>
      <c r="AR624" s="55"/>
      <c r="AS624" s="55"/>
      <c r="AT624" s="55"/>
      <c r="AU624" s="55"/>
    </row>
    <row r="625" spans="2:47"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60"/>
      <c r="P625" s="54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8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  <c r="AL625" s="55"/>
      <c r="AM625" s="55"/>
      <c r="AN625" s="55"/>
      <c r="AO625" s="55"/>
      <c r="AP625" s="55"/>
      <c r="AQ625" s="55"/>
      <c r="AR625" s="55"/>
      <c r="AS625" s="55"/>
      <c r="AT625" s="55"/>
      <c r="AU625" s="55"/>
    </row>
    <row r="626" spans="2:47"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60"/>
      <c r="P626" s="54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8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  <c r="AS626" s="55"/>
      <c r="AT626" s="55"/>
      <c r="AU626" s="55"/>
    </row>
    <row r="627" spans="2:47"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60"/>
      <c r="P627" s="54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8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  <c r="AL627" s="55"/>
      <c r="AM627" s="55"/>
      <c r="AN627" s="55"/>
      <c r="AO627" s="55"/>
      <c r="AP627" s="55"/>
      <c r="AQ627" s="55"/>
      <c r="AR627" s="55"/>
      <c r="AS627" s="55"/>
      <c r="AT627" s="55"/>
      <c r="AU627" s="55"/>
    </row>
    <row r="628" spans="2:47"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60"/>
      <c r="P628" s="54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85"/>
      <c r="AB628" s="55"/>
      <c r="AC628" s="55"/>
      <c r="AD628" s="55"/>
      <c r="AE628" s="55"/>
      <c r="AF628" s="55"/>
      <c r="AG628" s="55"/>
      <c r="AH628" s="55"/>
      <c r="AI628" s="55"/>
      <c r="AJ628" s="55"/>
      <c r="AK628" s="55"/>
      <c r="AL628" s="55"/>
      <c r="AM628" s="55"/>
      <c r="AN628" s="55"/>
      <c r="AO628" s="55"/>
      <c r="AP628" s="55"/>
      <c r="AQ628" s="55"/>
      <c r="AR628" s="55"/>
      <c r="AS628" s="55"/>
      <c r="AT628" s="55"/>
      <c r="AU628" s="55"/>
    </row>
    <row r="629" spans="2:47"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60"/>
      <c r="P629" s="54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85"/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  <c r="AL629" s="55"/>
      <c r="AM629" s="55"/>
      <c r="AN629" s="55"/>
      <c r="AO629" s="55"/>
      <c r="AP629" s="55"/>
      <c r="AQ629" s="55"/>
      <c r="AR629" s="55"/>
      <c r="AS629" s="55"/>
      <c r="AT629" s="55"/>
      <c r="AU629" s="55"/>
    </row>
    <row r="630" spans="2:47"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60"/>
      <c r="P630" s="54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8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  <c r="AS630" s="55"/>
      <c r="AT630" s="55"/>
      <c r="AU630" s="55"/>
    </row>
    <row r="631" spans="2:47"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60"/>
      <c r="P631" s="54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8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5"/>
      <c r="AP631" s="55"/>
      <c r="AQ631" s="55"/>
      <c r="AR631" s="55"/>
      <c r="AS631" s="55"/>
      <c r="AT631" s="55"/>
      <c r="AU631" s="55"/>
    </row>
    <row r="632" spans="2:47"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60"/>
      <c r="P632" s="54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85"/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  <c r="AL632" s="55"/>
      <c r="AM632" s="55"/>
      <c r="AN632" s="55"/>
      <c r="AO632" s="55"/>
      <c r="AP632" s="55"/>
      <c r="AQ632" s="55"/>
      <c r="AR632" s="55"/>
      <c r="AS632" s="55"/>
      <c r="AT632" s="55"/>
      <c r="AU632" s="55"/>
    </row>
    <row r="633" spans="2:47"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60"/>
      <c r="P633" s="54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8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5"/>
      <c r="AP633" s="55"/>
      <c r="AQ633" s="55"/>
      <c r="AR633" s="55"/>
      <c r="AS633" s="55"/>
      <c r="AT633" s="55"/>
      <c r="AU633" s="55"/>
    </row>
    <row r="634" spans="2:47"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60"/>
      <c r="P634" s="54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8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  <c r="AS634" s="55"/>
      <c r="AT634" s="55"/>
      <c r="AU634" s="55"/>
    </row>
    <row r="635" spans="2:47"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60"/>
      <c r="P635" s="54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8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  <c r="AL635" s="55"/>
      <c r="AM635" s="55"/>
      <c r="AN635" s="55"/>
      <c r="AO635" s="55"/>
      <c r="AP635" s="55"/>
      <c r="AQ635" s="55"/>
      <c r="AR635" s="55"/>
      <c r="AS635" s="55"/>
      <c r="AT635" s="55"/>
      <c r="AU635" s="55"/>
    </row>
    <row r="636" spans="2:47"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60"/>
      <c r="P636" s="54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8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5"/>
      <c r="AP636" s="55"/>
      <c r="AQ636" s="55"/>
      <c r="AR636" s="55"/>
      <c r="AS636" s="55"/>
      <c r="AT636" s="55"/>
      <c r="AU636" s="55"/>
    </row>
    <row r="637" spans="2:47"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60"/>
      <c r="P637" s="54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8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  <c r="AL637" s="55"/>
      <c r="AM637" s="55"/>
      <c r="AN637" s="55"/>
      <c r="AO637" s="55"/>
      <c r="AP637" s="55"/>
      <c r="AQ637" s="55"/>
      <c r="AR637" s="55"/>
      <c r="AS637" s="55"/>
      <c r="AT637" s="55"/>
      <c r="AU637" s="55"/>
    </row>
    <row r="638" spans="2:47"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60"/>
      <c r="P638" s="54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85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  <c r="AL638" s="55"/>
      <c r="AM638" s="55"/>
      <c r="AN638" s="55"/>
      <c r="AO638" s="55"/>
      <c r="AP638" s="55"/>
      <c r="AQ638" s="55"/>
      <c r="AR638" s="55"/>
      <c r="AS638" s="55"/>
      <c r="AT638" s="55"/>
      <c r="AU638" s="55"/>
    </row>
    <row r="639" spans="2:47"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60"/>
      <c r="P639" s="54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85"/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  <c r="AL639" s="55"/>
      <c r="AM639" s="55"/>
      <c r="AN639" s="55"/>
      <c r="AO639" s="55"/>
      <c r="AP639" s="55"/>
      <c r="AQ639" s="55"/>
      <c r="AR639" s="55"/>
      <c r="AS639" s="55"/>
      <c r="AT639" s="55"/>
      <c r="AU639" s="55"/>
    </row>
    <row r="640" spans="2:47"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60"/>
      <c r="P640" s="54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8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  <c r="AL640" s="55"/>
      <c r="AM640" s="55"/>
      <c r="AN640" s="55"/>
      <c r="AO640" s="55"/>
      <c r="AP640" s="55"/>
      <c r="AQ640" s="55"/>
      <c r="AR640" s="55"/>
      <c r="AS640" s="55"/>
      <c r="AT640" s="55"/>
      <c r="AU640" s="55"/>
    </row>
    <row r="641" spans="2:47"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60"/>
      <c r="P641" s="54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8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  <c r="AL641" s="55"/>
      <c r="AM641" s="55"/>
      <c r="AN641" s="55"/>
      <c r="AO641" s="55"/>
      <c r="AP641" s="55"/>
      <c r="AQ641" s="55"/>
      <c r="AR641" s="55"/>
      <c r="AS641" s="55"/>
      <c r="AT641" s="55"/>
      <c r="AU641" s="55"/>
    </row>
    <row r="642" spans="2:47"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60"/>
      <c r="P642" s="54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8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  <c r="AS642" s="55"/>
      <c r="AT642" s="55"/>
      <c r="AU642" s="55"/>
    </row>
    <row r="643" spans="2:47"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60"/>
      <c r="P643" s="54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8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  <c r="AL643" s="55"/>
      <c r="AM643" s="55"/>
      <c r="AN643" s="55"/>
      <c r="AO643" s="55"/>
      <c r="AP643" s="55"/>
      <c r="AQ643" s="55"/>
      <c r="AR643" s="55"/>
      <c r="AS643" s="55"/>
      <c r="AT643" s="55"/>
      <c r="AU643" s="55"/>
    </row>
    <row r="644" spans="2:47"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60"/>
      <c r="P644" s="54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8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5"/>
      <c r="AP644" s="55"/>
      <c r="AQ644" s="55"/>
      <c r="AR644" s="55"/>
      <c r="AS644" s="55"/>
      <c r="AT644" s="55"/>
      <c r="AU644" s="55"/>
    </row>
  </sheetData>
  <sheetProtection algorithmName="SHA-512" hashValue="QOWYxIu/2d73MtimSAv9ulQEv4nKeRvQs7BwBHRhSLDbDrTgotAhDw9Q3me4JwtYZkjNt/j9TdlJlaBqKHqfHw==" saltValue="67Anh1Eqcib0BOQzuOlvJw==" spinCount="100000" sheet="1" selectLockedCells="1"/>
  <mergeCells count="23">
    <mergeCell ref="CJ246:CN246"/>
    <mergeCell ref="B22:D22"/>
    <mergeCell ref="B18:D18"/>
    <mergeCell ref="C23:D23"/>
    <mergeCell ref="C24:D24"/>
    <mergeCell ref="C25:D25"/>
    <mergeCell ref="C26:D26"/>
    <mergeCell ref="B3:D3"/>
    <mergeCell ref="CI280:CN283"/>
    <mergeCell ref="B1:L1"/>
    <mergeCell ref="B2:L2"/>
    <mergeCell ref="E3:L3"/>
    <mergeCell ref="C4:D4"/>
    <mergeCell ref="E4:L4"/>
    <mergeCell ref="E5:L5"/>
    <mergeCell ref="E26:L26"/>
    <mergeCell ref="E25:L25"/>
    <mergeCell ref="B33:L33"/>
    <mergeCell ref="B34:L34"/>
    <mergeCell ref="B35:L35"/>
    <mergeCell ref="B36:L36"/>
    <mergeCell ref="B13:D15"/>
    <mergeCell ref="CJ244:CK244"/>
  </mergeCells>
  <dataValidations count="10">
    <dataValidation type="list" allowBlank="1" showInputMessage="1" showErrorMessage="1" errorTitle="Pressure unit Error" error="Pressure unit must be entered_x000a_1 = Bar _x000a_2 = Metres head" promptTitle="Pressure Units" prompt="1 = Bar_x000a_2 = metres head" sqref="D6" xr:uid="{62D70BDA-6ECC-495E-8A9D-B02C24F52650}">
      <formula1>"1,2"</formula1>
    </dataValidation>
    <dataValidation type="list" allowBlank="1" showInputMessage="1" showErrorMessage="1" errorTitle="Flow unit Error" error="Flow unit must be entered_x000a_1 = Litres per second_x000a_2 = Cubic meters per hour_x000a_3 = Litres per minute" promptTitle="Flow Units" prompt="1 = Litres per second_x000a_2 = Cubic metres per hour_x000a_3 = Litres per minute_x000a_" sqref="D5" xr:uid="{24C0A4BE-90DB-46D7-ABB5-C30BCB88DD69}">
      <formula1>"1,2,3"</formula1>
    </dataValidation>
    <dataValidation type="list" allowBlank="1" showInputMessage="1" showErrorMessage="1" promptTitle="Body type " prompt="1 = Globe pattern valve body_x000a__x000a_2 = Angle pattern valve body" sqref="D19" xr:uid="{47C4CE1C-F049-49CF-ACD5-64C723A99C7C}">
      <formula1>"1,2"</formula1>
    </dataValidation>
    <dataValidation type="list" allowBlank="1" showInputMessage="1" showErrorMessage="1" errorTitle="BODY TYPE ERROR" error="Please select body type from the list provided_x000a_" promptTitle="Select Valve Series" prompt="1 = GE Series features:_x000a_      * High Flow capacity _x000a_      * Low Headloss_x000a__x000a_2 = NGE Series features:_x000a_      * Normal Capacity_x000a_      * High Resistance _x000a_         to Cavitation" sqref="D20" xr:uid="{A41B5401-95CB-497B-B15B-21190E1F59C0}">
      <formula1>$C$131:$C$132</formula1>
    </dataValidation>
    <dataValidation type="list" allowBlank="1" showInputMessage="1" showErrorMessage="1" sqref="D21" xr:uid="{A9D5BE5A-E22C-47EE-A44B-5F0D6F59AE24}">
      <formula1>IF($D$20=1,B$131:B$142,B$133:B$145)</formula1>
    </dataValidation>
    <dataValidation type="decimal" operator="greaterThanOrEqual" showInputMessage="1" showErrorMessage="1" errorTitle="Flow Out of Range " error="Flow must be greater than zero" sqref="D7" xr:uid="{B27A14B1-087B-430A-859E-5A7E7BE1D514}">
      <formula1>0</formula1>
    </dataValidation>
    <dataValidation type="decimal" operator="greaterThanOrEqual" showInputMessage="1" showErrorMessage="1" errorTitle="Flow error" error="Flow must be greater than zero" sqref="D8" xr:uid="{10B7DD7D-F4C0-450A-80D9-08C75927D71E}">
      <formula1>0</formula1>
    </dataValidation>
    <dataValidation type="decimal" operator="lessThanOrEqual" showInputMessage="1" showErrorMessage="1" errorTitle="Inlet pressure out of range" error="Contact CLA-VAL for guidance" sqref="D9" xr:uid="{B54D8FC2-92C9-45F5-A54C-28B7363EAF8F}">
      <formula1>25</formula1>
    </dataValidation>
    <dataValidation type="decimal" operator="lessThanOrEqual" allowBlank="1" showInputMessage="1" showErrorMessage="1" errorTitle="Inlet pressure out of range" error="Contact CLA-VAL for guidance" sqref="D10" xr:uid="{843C4EC5-A39B-4C2B-9BF1-2C112E3DC7E3}">
      <formula1>25</formula1>
    </dataValidation>
    <dataValidation type="decimal" operator="lessThanOrEqual" showInputMessage="1" showErrorMessage="1" errorTitle="Outlet pressure range exceeded" error="Contact CLA-VAL for guidance" sqref="D11" xr:uid="{5C242C0C-673E-4A2D-AC78-B1AA8D8DA98F}">
      <formula1>20</formula1>
    </dataValidation>
  </dataValidations>
  <printOptions horizontalCentered="1" verticalCentered="1"/>
  <pageMargins left="0.62" right="0.44" top="0.38" bottom="0.39" header="11.141732283464567" footer="0.27"/>
  <pageSetup paperSize="9" orientation="portrait" horizontalDpi="4294967292" verticalDpi="4294967292" r:id="rId1"/>
  <headerFooter alignWithMargins="0"/>
  <ignoredErrors>
    <ignoredError sqref="D21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Direct Acting PRV</vt:lpstr>
      <vt:lpstr>Pilot Operated PRV</vt:lpstr>
      <vt:lpstr>'Pilot Operated PRV'!BD</vt:lpstr>
      <vt:lpstr>'Pilot Operated PRV'!CLAVAL</vt:lpstr>
      <vt:lpstr>'Pilot Operated PRV'!Criteria</vt:lpstr>
      <vt:lpstr>'Pilot Operated PRV'!Database</vt:lpstr>
      <vt:lpstr>'Direct Acting PRV'!Print_Area</vt:lpstr>
      <vt:lpstr>'Pilot Operated PRV'!Print_Area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Humphrey</dc:creator>
  <cp:lastModifiedBy>David Humphrey</cp:lastModifiedBy>
  <cp:lastPrinted>2022-01-06T10:51:30Z</cp:lastPrinted>
  <dcterms:created xsi:type="dcterms:W3CDTF">2000-01-17T15:28:50Z</dcterms:created>
  <dcterms:modified xsi:type="dcterms:W3CDTF">2022-01-06T11:16:20Z</dcterms:modified>
</cp:coreProperties>
</file>